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3240" windowWidth="21600" windowHeight="4774"/>
  </bookViews>
  <sheets>
    <sheet name="Перечень объектов" sheetId="2" r:id="rId1"/>
  </sheets>
  <definedNames>
    <definedName name="_xlnm._FilterDatabase" localSheetId="0" hidden="1">'Перечень объектов'!$J$1:$J$357</definedName>
    <definedName name="a" localSheetId="0">'Перечень объектов'!$25:$25</definedName>
    <definedName name="b" localSheetId="0">'Перечень объектов'!$B$14:$Q$299</definedName>
    <definedName name="BossProviderVariable?_a76a7063_d5bf_41dd_b2e3_27a4c3a73235" hidden="1">"25_01_2006"</definedName>
    <definedName name="_xlnm.Print_Titles" localSheetId="0">'Перечень объектов'!$25:$25</definedName>
    <definedName name="_xlnm.Print_Area" localSheetId="0">'Перечень объектов'!$A$1:$Q$351</definedName>
    <definedName name="Перечень" localSheetId="0">'Перечень объектов'!$25:$25</definedName>
    <definedName name="прил" localSheetId="0">'Перечень объектов'!$25:$25</definedName>
    <definedName name="Прил.1" localSheetId="0">'Перечень объектов'!$A$1:$Q$349</definedName>
    <definedName name="Приложение" localSheetId="0">'Перечень объектов'!$A$1:$Q$349</definedName>
    <definedName name="ф" localSheetId="0">'Перечень объектов'!$A$1:$Q$350</definedName>
    <definedName name="ц" localSheetId="0">'Перечень объектов'!$25:$25</definedName>
  </definedNames>
  <calcPr calcId="145621"/>
</workbook>
</file>

<file path=xl/calcChain.xml><?xml version="1.0" encoding="utf-8"?>
<calcChain xmlns="http://schemas.openxmlformats.org/spreadsheetml/2006/main">
  <c r="K260" i="2" l="1"/>
  <c r="L259" i="2"/>
  <c r="K259" i="2" s="1"/>
  <c r="M146" i="2" l="1"/>
  <c r="M329" i="2" l="1"/>
  <c r="N329" i="2"/>
  <c r="O329" i="2"/>
  <c r="L329" i="2"/>
  <c r="O259" i="2"/>
  <c r="M330" i="2"/>
  <c r="N330" i="2"/>
  <c r="O330" i="2"/>
  <c r="L330" i="2"/>
  <c r="M238" i="2" l="1"/>
  <c r="N238" i="2"/>
  <c r="O238" i="2"/>
  <c r="L238" i="2"/>
  <c r="K240" i="2"/>
  <c r="K239" i="2"/>
  <c r="K238" i="2" l="1"/>
  <c r="M219" i="2" l="1"/>
  <c r="L208" i="2"/>
  <c r="N208" i="2"/>
  <c r="O208" i="2"/>
  <c r="K213" i="2"/>
  <c r="M203" i="2"/>
  <c r="N328" i="2"/>
  <c r="O328" i="2"/>
  <c r="L328" i="2"/>
  <c r="L177" i="2"/>
  <c r="M177" i="2"/>
  <c r="N177" i="2"/>
  <c r="O177" i="2"/>
  <c r="K181" i="2"/>
  <c r="K180" i="2"/>
  <c r="L169" i="2"/>
  <c r="M169" i="2"/>
  <c r="N169" i="2"/>
  <c r="O169" i="2"/>
  <c r="K173" i="2"/>
  <c r="K172" i="2"/>
  <c r="K166" i="2"/>
  <c r="R146" i="2"/>
  <c r="K138" i="2"/>
  <c r="O97" i="2" l="1"/>
  <c r="P97" i="2"/>
  <c r="L97" i="2"/>
  <c r="K68" i="2"/>
  <c r="M71" i="2"/>
  <c r="Q204" i="2"/>
  <c r="Q214" i="2"/>
  <c r="Q195" i="2"/>
  <c r="Q158" i="2"/>
  <c r="Q139" i="2"/>
  <c r="Q129" i="2"/>
  <c r="Q111" i="2"/>
  <c r="Q61" i="2"/>
  <c r="Q54" i="2"/>
  <c r="Q49" i="2"/>
  <c r="N74" i="2" l="1"/>
  <c r="N97" i="2" s="1"/>
  <c r="M331" i="2" l="1"/>
  <c r="N331" i="2"/>
  <c r="O331" i="2"/>
  <c r="L331" i="2"/>
  <c r="K326" i="2"/>
  <c r="K325" i="2" s="1"/>
  <c r="L325" i="2"/>
  <c r="M325" i="2"/>
  <c r="N325" i="2"/>
  <c r="O325" i="2"/>
  <c r="P331" i="2"/>
  <c r="K324" i="2"/>
  <c r="K323" i="2" s="1"/>
  <c r="L323" i="2"/>
  <c r="M323" i="2"/>
  <c r="N323" i="2"/>
  <c r="O323" i="2"/>
  <c r="K322" i="2"/>
  <c r="K321" i="2" s="1"/>
  <c r="L321" i="2"/>
  <c r="M321" i="2"/>
  <c r="N321" i="2"/>
  <c r="O321" i="2"/>
  <c r="K319" i="2"/>
  <c r="K318" i="2" s="1"/>
  <c r="O318" i="2"/>
  <c r="L318" i="2"/>
  <c r="M318" i="2"/>
  <c r="N318" i="2"/>
  <c r="K317" i="2"/>
  <c r="K316" i="2" s="1"/>
  <c r="L316" i="2"/>
  <c r="M316" i="2"/>
  <c r="O316" i="2"/>
  <c r="P316" i="2"/>
  <c r="K314" i="2"/>
  <c r="K313" i="2" s="1"/>
  <c r="L313" i="2"/>
  <c r="M313" i="2"/>
  <c r="N313" i="2"/>
  <c r="O313" i="2"/>
  <c r="K254" i="2" l="1"/>
  <c r="K253" i="2" s="1"/>
  <c r="L253" i="2"/>
  <c r="M253" i="2"/>
  <c r="N253" i="2"/>
  <c r="O253" i="2"/>
  <c r="K256" i="2"/>
  <c r="K255" i="2" s="1"/>
  <c r="O255" i="2"/>
  <c r="L255" i="2"/>
  <c r="M255" i="2"/>
  <c r="N255" i="2"/>
  <c r="M236" i="2"/>
  <c r="N236" i="2"/>
  <c r="L236" i="2"/>
  <c r="K237" i="2"/>
  <c r="K236" i="2" s="1"/>
  <c r="K235" i="2"/>
  <c r="K234" i="2" s="1"/>
  <c r="L234" i="2"/>
  <c r="M234" i="2"/>
  <c r="N234" i="2"/>
  <c r="O234" i="2"/>
  <c r="P234" i="2"/>
  <c r="P330" i="2"/>
  <c r="K217" i="2"/>
  <c r="K218" i="2"/>
  <c r="K219" i="2"/>
  <c r="K220" i="2"/>
  <c r="K221" i="2"/>
  <c r="L214" i="2"/>
  <c r="N214" i="2"/>
  <c r="O214" i="2"/>
  <c r="P214" i="2"/>
  <c r="K203" i="2"/>
  <c r="L198" i="2"/>
  <c r="N198" i="2"/>
  <c r="O198" i="2"/>
  <c r="M124" i="2"/>
  <c r="N124" i="2"/>
  <c r="O124" i="2"/>
  <c r="L124" i="2"/>
  <c r="K125" i="2"/>
  <c r="K331" i="2" s="1"/>
  <c r="M74" i="2"/>
  <c r="M97" i="2" s="1"/>
  <c r="K124" i="2" l="1"/>
  <c r="M202" i="2"/>
  <c r="M212" i="2"/>
  <c r="M208" i="2" s="1"/>
  <c r="M145" i="2" l="1"/>
  <c r="N142" i="2"/>
  <c r="O142" i="2"/>
  <c r="L142" i="2"/>
  <c r="K146" i="2"/>
  <c r="M165" i="2" l="1"/>
  <c r="M184" i="2"/>
  <c r="M328" i="2" s="1"/>
  <c r="K185" i="2"/>
  <c r="R328" i="2" l="1"/>
  <c r="M182" i="2"/>
  <c r="O327" i="2"/>
  <c r="M96" i="2"/>
  <c r="N96" i="2"/>
  <c r="O96" i="2"/>
  <c r="L96" i="2"/>
  <c r="Q311" i="2" l="1"/>
  <c r="Q308" i="2"/>
  <c r="Q276" i="2"/>
  <c r="Q244" i="2"/>
  <c r="Q242" i="2"/>
  <c r="Q232" i="2"/>
  <c r="Q224" i="2"/>
  <c r="Q222" i="2"/>
  <c r="Q167" i="2"/>
  <c r="Q153" i="2"/>
  <c r="Q147" i="2"/>
  <c r="Q127" i="2"/>
  <c r="Q116" i="2"/>
  <c r="K212" i="2"/>
  <c r="L111" i="2"/>
  <c r="O111" i="2"/>
  <c r="N49" i="2" l="1"/>
  <c r="M49" i="2" l="1"/>
  <c r="M69" i="2" l="1"/>
  <c r="K71" i="2" l="1"/>
  <c r="K70" i="2"/>
  <c r="K69" i="2" s="1"/>
  <c r="L72" i="2"/>
  <c r="M72" i="2"/>
  <c r="N72" i="2"/>
  <c r="O72" i="2"/>
  <c r="K67" i="2"/>
  <c r="M66" i="2"/>
  <c r="K66" i="2" s="1"/>
  <c r="K53" i="2"/>
  <c r="K73" i="2"/>
  <c r="K74" i="2"/>
  <c r="K65" i="2"/>
  <c r="K56" i="2"/>
  <c r="K55" i="2"/>
  <c r="K72" i="2" l="1"/>
  <c r="K330" i="2" l="1"/>
  <c r="L99" i="2" l="1"/>
  <c r="M99" i="2"/>
  <c r="M341" i="2" s="1"/>
  <c r="N99" i="2"/>
  <c r="N341" i="2" s="1"/>
  <c r="O99" i="2"/>
  <c r="O341" i="2" s="1"/>
  <c r="L100" i="2"/>
  <c r="L342" i="2" s="1"/>
  <c r="M100" i="2"/>
  <c r="N100" i="2"/>
  <c r="N342" i="2" s="1"/>
  <c r="O100" i="2"/>
  <c r="O342" i="2" s="1"/>
  <c r="L101" i="2"/>
  <c r="M101" i="2"/>
  <c r="M343" i="2" s="1"/>
  <c r="N101" i="2"/>
  <c r="N343" i="2" s="1"/>
  <c r="O101" i="2"/>
  <c r="O343" i="2" s="1"/>
  <c r="L102" i="2"/>
  <c r="L344" i="2" s="1"/>
  <c r="M102" i="2"/>
  <c r="N102" i="2"/>
  <c r="N344" i="2" s="1"/>
  <c r="O102" i="2"/>
  <c r="O344" i="2" s="1"/>
  <c r="L103" i="2"/>
  <c r="L345" i="2" s="1"/>
  <c r="M103" i="2"/>
  <c r="M345" i="2" s="1"/>
  <c r="N103" i="2"/>
  <c r="N345" i="2" s="1"/>
  <c r="O103" i="2"/>
  <c r="O345" i="2" s="1"/>
  <c r="M98" i="2"/>
  <c r="M340" i="2" s="1"/>
  <c r="N98" i="2"/>
  <c r="N340" i="2" s="1"/>
  <c r="O98" i="2"/>
  <c r="O340" i="2" s="1"/>
  <c r="P98" i="2"/>
  <c r="P340" i="2" s="1"/>
  <c r="L98" i="2"/>
  <c r="L340" i="2" s="1"/>
  <c r="S87" i="2"/>
  <c r="U87" i="2"/>
  <c r="V87" i="2"/>
  <c r="K92" i="2"/>
  <c r="K88" i="2"/>
  <c r="K89" i="2"/>
  <c r="K90" i="2"/>
  <c r="K91" i="2"/>
  <c r="K87" i="2"/>
  <c r="P96" i="2"/>
  <c r="K103" i="2" l="1"/>
  <c r="K345" i="2" s="1"/>
  <c r="K101" i="2"/>
  <c r="K343" i="2" s="1"/>
  <c r="L343" i="2"/>
  <c r="K99" i="2"/>
  <c r="K341" i="2" s="1"/>
  <c r="L341" i="2"/>
  <c r="K102" i="2"/>
  <c r="K344" i="2" s="1"/>
  <c r="M344" i="2"/>
  <c r="K100" i="2"/>
  <c r="K342" i="2" s="1"/>
  <c r="M342" i="2"/>
  <c r="K98" i="2"/>
  <c r="K340" i="2" s="1"/>
  <c r="N114" i="2" l="1"/>
  <c r="N111" i="2" s="1"/>
  <c r="M114" i="2"/>
  <c r="M111" i="2" s="1"/>
  <c r="K114" i="2" l="1"/>
  <c r="K111" i="2" s="1"/>
  <c r="N252" i="2"/>
  <c r="M252" i="2"/>
  <c r="L252" i="2"/>
  <c r="L327" i="2" s="1"/>
  <c r="M62" i="2" l="1"/>
  <c r="M61" i="2" s="1"/>
  <c r="M60" i="2" l="1"/>
  <c r="M243" i="2" l="1"/>
  <c r="N243" i="2"/>
  <c r="M136" i="2"/>
  <c r="M152" i="2"/>
  <c r="M157" i="2"/>
  <c r="M168" i="2"/>
  <c r="M144" i="2"/>
  <c r="M142" i="2" s="1"/>
  <c r="M128" i="2"/>
  <c r="M312" i="2"/>
  <c r="N312" i="2"/>
  <c r="N309" i="2"/>
  <c r="M309" i="2"/>
  <c r="N307" i="2"/>
  <c r="M307" i="2"/>
  <c r="N327" i="2" l="1"/>
  <c r="R312" i="2"/>
  <c r="S312" i="2" s="1"/>
  <c r="T312" i="2" s="1"/>
  <c r="T328" i="2" s="1"/>
  <c r="N95" i="2" l="1"/>
  <c r="O95" i="2"/>
  <c r="P95" i="2"/>
  <c r="L95" i="2"/>
  <c r="M117" i="2" l="1"/>
  <c r="M225" i="2"/>
  <c r="K202" i="2"/>
  <c r="M132" i="2"/>
  <c r="K137" i="2"/>
  <c r="L132" i="2"/>
  <c r="N132" i="2"/>
  <c r="O132" i="2"/>
  <c r="M201" i="2" l="1"/>
  <c r="M198" i="2" s="1"/>
  <c r="M246" i="2"/>
  <c r="M216" i="2"/>
  <c r="M214" i="2" s="1"/>
  <c r="M327" i="2" l="1"/>
  <c r="R114" i="2"/>
  <c r="K184" i="2"/>
  <c r="K183" i="2"/>
  <c r="K182" i="2" s="1"/>
  <c r="O182" i="2"/>
  <c r="N182" i="2"/>
  <c r="L182" i="2"/>
  <c r="K179" i="2"/>
  <c r="K178" i="2"/>
  <c r="K176" i="2"/>
  <c r="K175" i="2"/>
  <c r="O174" i="2"/>
  <c r="N174" i="2"/>
  <c r="M174" i="2"/>
  <c r="L174" i="2"/>
  <c r="K171" i="2"/>
  <c r="K170" i="2"/>
  <c r="K169" i="2" l="1"/>
  <c r="K177" i="2"/>
  <c r="K174" i="2"/>
  <c r="R168" i="2" l="1"/>
  <c r="N292" i="2" l="1"/>
  <c r="K309" i="2"/>
  <c r="K308" i="2" s="1"/>
  <c r="L308" i="2"/>
  <c r="M308" i="2"/>
  <c r="N308" i="2"/>
  <c r="O308" i="2"/>
  <c r="K307" i="2"/>
  <c r="K306" i="2" s="1"/>
  <c r="L306" i="2"/>
  <c r="M306" i="2"/>
  <c r="N306" i="2"/>
  <c r="O306" i="2"/>
  <c r="K305" i="2" l="1"/>
  <c r="K304" i="2" s="1"/>
  <c r="L304" i="2"/>
  <c r="M304" i="2"/>
  <c r="N304" i="2"/>
  <c r="O304" i="2"/>
  <c r="K64" i="2" l="1"/>
  <c r="K63" i="2" s="1"/>
  <c r="O63" i="2"/>
  <c r="N63" i="2"/>
  <c r="L63" i="2"/>
  <c r="K62" i="2"/>
  <c r="K61" i="2" s="1"/>
  <c r="O61" i="2"/>
  <c r="N61" i="2"/>
  <c r="L61" i="2"/>
  <c r="M59" i="2"/>
  <c r="O59" i="2"/>
  <c r="N59" i="2"/>
  <c r="L59" i="2"/>
  <c r="M57" i="2"/>
  <c r="K57" i="2" s="1"/>
  <c r="K58" i="2"/>
  <c r="O57" i="2"/>
  <c r="N57" i="2"/>
  <c r="L57" i="2"/>
  <c r="K59" i="2" l="1"/>
  <c r="K60" i="2"/>
  <c r="M311" i="2" l="1"/>
  <c r="N311" i="2"/>
  <c r="O311" i="2"/>
  <c r="L311" i="2"/>
  <c r="K312" i="2"/>
  <c r="L242" i="2"/>
  <c r="M242" i="2"/>
  <c r="N242" i="2"/>
  <c r="O242" i="2"/>
  <c r="P327" i="2"/>
  <c r="M116" i="2"/>
  <c r="N116" i="2"/>
  <c r="O116" i="2"/>
  <c r="L116" i="2"/>
  <c r="K117" i="2"/>
  <c r="K311" i="2" l="1"/>
  <c r="K116" i="2"/>
  <c r="L232" i="2" l="1"/>
  <c r="M232" i="2"/>
  <c r="N232" i="2"/>
  <c r="O232" i="2"/>
  <c r="K223" i="2"/>
  <c r="L222" i="2"/>
  <c r="M222" i="2"/>
  <c r="N222" i="2"/>
  <c r="L224" i="2"/>
  <c r="M224" i="2"/>
  <c r="N224" i="2"/>
  <c r="O224" i="2"/>
  <c r="L156" i="2"/>
  <c r="M156" i="2"/>
  <c r="N156" i="2"/>
  <c r="O156" i="2"/>
  <c r="L127" i="2"/>
  <c r="M127" i="2"/>
  <c r="N127" i="2"/>
  <c r="O127" i="2"/>
  <c r="P127" i="2"/>
  <c r="L167" i="2"/>
  <c r="M167" i="2"/>
  <c r="N167" i="2"/>
  <c r="O167" i="2"/>
  <c r="K168" i="2"/>
  <c r="K167" i="2" s="1"/>
  <c r="K327" i="2" l="1"/>
  <c r="K222" i="2"/>
  <c r="L151" i="2" l="1"/>
  <c r="M151" i="2"/>
  <c r="N151" i="2"/>
  <c r="O151" i="2"/>
  <c r="P329" i="2" l="1"/>
  <c r="K248" i="2"/>
  <c r="K247" i="2" s="1"/>
  <c r="O247" i="2"/>
  <c r="N247" i="2"/>
  <c r="M247" i="2"/>
  <c r="L247" i="2"/>
  <c r="K123" i="2"/>
  <c r="O122" i="2"/>
  <c r="N122" i="2"/>
  <c r="M122" i="2"/>
  <c r="L122" i="2"/>
  <c r="K122" i="2" l="1"/>
  <c r="K79" i="2"/>
  <c r="M95" i="2" l="1"/>
  <c r="L31" i="2"/>
  <c r="M31" i="2"/>
  <c r="N31" i="2"/>
  <c r="O31" i="2"/>
  <c r="P31" i="2"/>
  <c r="K33" i="2"/>
  <c r="K31" i="2" s="1"/>
  <c r="K35" i="2"/>
  <c r="K36" i="2"/>
  <c r="K39" i="2"/>
  <c r="K43" i="2"/>
  <c r="K41" i="2" s="1"/>
  <c r="K45" i="2"/>
  <c r="K46" i="2"/>
  <c r="K48" i="2"/>
  <c r="K47" i="2" s="1"/>
  <c r="K50" i="2"/>
  <c r="K51" i="2"/>
  <c r="K52" i="2"/>
  <c r="K49" i="2" s="1"/>
  <c r="K76" i="2"/>
  <c r="K77" i="2"/>
  <c r="K78" i="2"/>
  <c r="K80" i="2"/>
  <c r="K44" i="2" l="1"/>
  <c r="K54" i="2"/>
  <c r="O337" i="2"/>
  <c r="L337" i="2"/>
  <c r="M302" i="2"/>
  <c r="N302" i="2"/>
  <c r="O302" i="2"/>
  <c r="L302" i="2"/>
  <c r="K303" i="2"/>
  <c r="M300" i="2"/>
  <c r="N300" i="2"/>
  <c r="O300" i="2"/>
  <c r="L300" i="2"/>
  <c r="K301" i="2"/>
  <c r="L296" i="2"/>
  <c r="M296" i="2"/>
  <c r="N296" i="2"/>
  <c r="O296" i="2"/>
  <c r="L292" i="2"/>
  <c r="O292" i="2"/>
  <c r="P292" i="2"/>
  <c r="L280" i="2"/>
  <c r="M280" i="2"/>
  <c r="N280" i="2"/>
  <c r="O280" i="2"/>
  <c r="M257" i="2"/>
  <c r="N257" i="2"/>
  <c r="O257" i="2"/>
  <c r="L257" i="2"/>
  <c r="K258" i="2"/>
  <c r="M251" i="2"/>
  <c r="N251" i="2"/>
  <c r="O251" i="2"/>
  <c r="L251" i="2"/>
  <c r="K252" i="2"/>
  <c r="M249" i="2"/>
  <c r="N249" i="2"/>
  <c r="O249" i="2"/>
  <c r="P249" i="2"/>
  <c r="L249" i="2"/>
  <c r="K250" i="2"/>
  <c r="L244" i="2"/>
  <c r="M244" i="2"/>
  <c r="N244" i="2"/>
  <c r="M230" i="2"/>
  <c r="N230" i="2"/>
  <c r="O230" i="2"/>
  <c r="L230" i="2"/>
  <c r="K231" i="2"/>
  <c r="K229" i="2"/>
  <c r="M228" i="2"/>
  <c r="N228" i="2"/>
  <c r="O228" i="2"/>
  <c r="L228" i="2"/>
  <c r="K227" i="2"/>
  <c r="K226" i="2" s="1"/>
  <c r="L226" i="2"/>
  <c r="M226" i="2"/>
  <c r="N226" i="2"/>
  <c r="O226" i="2"/>
  <c r="P208" i="2"/>
  <c r="L161" i="2"/>
  <c r="M161" i="2"/>
  <c r="N161" i="2"/>
  <c r="O161" i="2"/>
  <c r="M120" i="2"/>
  <c r="N120" i="2"/>
  <c r="O120" i="2"/>
  <c r="L120" i="2"/>
  <c r="K121" i="2"/>
  <c r="M118" i="2"/>
  <c r="N118" i="2"/>
  <c r="O118" i="2"/>
  <c r="L118" i="2"/>
  <c r="K119" i="2"/>
  <c r="M292" i="2" l="1"/>
  <c r="K328" i="2"/>
  <c r="K329" i="2"/>
  <c r="K302" i="2"/>
  <c r="K251" i="2"/>
  <c r="K257" i="2"/>
  <c r="K249" i="2"/>
  <c r="K230" i="2"/>
  <c r="K228" i="2"/>
  <c r="K120" i="2"/>
  <c r="K118" i="2"/>
  <c r="M338" i="2" l="1"/>
  <c r="N338" i="2"/>
  <c r="O338" i="2"/>
  <c r="L338" i="2"/>
  <c r="M339" i="2"/>
  <c r="N339" i="2"/>
  <c r="O339" i="2"/>
  <c r="L339" i="2"/>
  <c r="L49" i="2"/>
  <c r="K95" i="2" l="1"/>
  <c r="K97" i="2"/>
  <c r="K339" i="2" s="1"/>
  <c r="K96" i="2"/>
  <c r="K338" i="2" s="1"/>
  <c r="M40" i="2"/>
  <c r="K40" i="2" s="1"/>
  <c r="N294" i="2" l="1"/>
  <c r="M294" i="2"/>
  <c r="N282" i="2" l="1"/>
  <c r="M282" i="2"/>
  <c r="N299" i="2" l="1"/>
  <c r="M299" i="2"/>
  <c r="M215" i="2" l="1"/>
  <c r="K216" i="2"/>
  <c r="K214" i="2" s="1"/>
  <c r="M200" i="2"/>
  <c r="K201" i="2"/>
  <c r="K198" i="2" s="1"/>
  <c r="M135" i="2"/>
  <c r="K135" i="2" s="1"/>
  <c r="K165" i="2"/>
  <c r="M163" i="2"/>
  <c r="Q289" i="2" l="1"/>
  <c r="Q286" i="2"/>
  <c r="Q273" i="2"/>
  <c r="L41" i="2"/>
  <c r="M41" i="2"/>
  <c r="N41" i="2"/>
  <c r="O41" i="2"/>
  <c r="L37" i="2"/>
  <c r="N37" i="2"/>
  <c r="O37" i="2"/>
  <c r="P37" i="2"/>
  <c r="K295" i="2" l="1"/>
  <c r="K292" i="2" s="1"/>
  <c r="M210" i="2" l="1"/>
  <c r="K211" i="2"/>
  <c r="K208" i="2" s="1"/>
  <c r="K136" i="2"/>
  <c r="K132" i="2" s="1"/>
  <c r="O244" i="2" l="1"/>
  <c r="P244" i="2"/>
  <c r="K246" i="2"/>
  <c r="K244" i="2" s="1"/>
  <c r="K245" i="2"/>
  <c r="K215" i="2"/>
  <c r="N337" i="2" l="1"/>
  <c r="K164" i="2"/>
  <c r="K161" i="2" s="1"/>
  <c r="K163" i="2"/>
  <c r="K145" i="2"/>
  <c r="K144" i="2"/>
  <c r="K337" i="2" l="1"/>
  <c r="M337" i="2"/>
  <c r="M199" i="2"/>
  <c r="W83" i="2" l="1"/>
  <c r="X83" i="2"/>
  <c r="X84" i="2"/>
  <c r="X85" i="2"/>
  <c r="W86" i="2"/>
  <c r="X86" i="2"/>
  <c r="W82" i="2"/>
  <c r="X82" i="2"/>
  <c r="K298" i="2" l="1"/>
  <c r="K296" i="2" s="1"/>
  <c r="T83" i="2" l="1"/>
  <c r="U83" i="2"/>
  <c r="V83" i="2"/>
  <c r="S83" i="2"/>
  <c r="L47" i="2"/>
  <c r="M47" i="2"/>
  <c r="N47" i="2"/>
  <c r="O47" i="2"/>
  <c r="L44" i="2"/>
  <c r="M44" i="2"/>
  <c r="N44" i="2"/>
  <c r="O44" i="2"/>
  <c r="M38" i="2"/>
  <c r="M34" i="2"/>
  <c r="K34" i="2" s="1"/>
  <c r="N34" i="2"/>
  <c r="O34" i="2"/>
  <c r="L34" i="2"/>
  <c r="K300" i="2"/>
  <c r="M37" i="2" l="1"/>
  <c r="K38" i="2"/>
  <c r="K37" i="2" s="1"/>
  <c r="N209" i="2"/>
  <c r="M209" i="2"/>
  <c r="P346" i="2" l="1"/>
  <c r="K297" i="2"/>
  <c r="N293" i="2"/>
  <c r="M293" i="2"/>
  <c r="K281" i="2"/>
  <c r="K272" i="2"/>
  <c r="M267" i="2"/>
  <c r="K233" i="2"/>
  <c r="K232" i="2" s="1"/>
  <c r="K225" i="2"/>
  <c r="K224" i="2" s="1"/>
  <c r="K209" i="2"/>
  <c r="K199" i="2"/>
  <c r="M162" i="2"/>
  <c r="K157" i="2"/>
  <c r="K156" i="2" s="1"/>
  <c r="K134" i="2"/>
  <c r="M134" i="2"/>
  <c r="K162" i="2" l="1"/>
  <c r="K293" i="2"/>
  <c r="K267" i="2"/>
  <c r="K152" i="2" l="1"/>
  <c r="K151" i="2" s="1"/>
  <c r="K128" i="2" l="1"/>
  <c r="K127" i="2" s="1"/>
  <c r="M107" i="2"/>
  <c r="N107" i="2"/>
  <c r="O107" i="2"/>
  <c r="L107" i="2"/>
  <c r="M106" i="2"/>
  <c r="N106" i="2"/>
  <c r="O106" i="2"/>
  <c r="L106" i="2"/>
  <c r="M105" i="2"/>
  <c r="N105" i="2"/>
  <c r="O105" i="2"/>
  <c r="L105" i="2"/>
  <c r="K112" i="2"/>
  <c r="K113" i="2"/>
  <c r="N94" i="2"/>
  <c r="O94" i="2"/>
  <c r="L94" i="2"/>
  <c r="L54" i="2"/>
  <c r="M54" i="2"/>
  <c r="N54" i="2"/>
  <c r="O54" i="2"/>
  <c r="O49" i="2"/>
  <c r="K28" i="2"/>
  <c r="M29" i="2"/>
  <c r="K29" i="2" s="1"/>
  <c r="M30" i="2"/>
  <c r="K30" i="2" s="1"/>
  <c r="M75" i="2"/>
  <c r="K75" i="2" s="1"/>
  <c r="K82" i="2"/>
  <c r="K83" i="2"/>
  <c r="K84" i="2"/>
  <c r="K85" i="2"/>
  <c r="K86" i="2"/>
  <c r="V86" i="2" l="1"/>
  <c r="N93" i="2"/>
  <c r="U82" i="2"/>
  <c r="U86" i="2"/>
  <c r="T86" i="2"/>
  <c r="L93" i="2"/>
  <c r="S82" i="2"/>
  <c r="V84" i="2"/>
  <c r="S86" i="2"/>
  <c r="O93" i="2"/>
  <c r="V82" i="2"/>
  <c r="V85" i="2"/>
  <c r="U85" i="2"/>
  <c r="T85" i="2"/>
  <c r="S85" i="2"/>
  <c r="U84" i="2"/>
  <c r="S84" i="2"/>
  <c r="M94" i="2"/>
  <c r="T84" i="2"/>
  <c r="M93" i="2" l="1"/>
  <c r="T82" i="2"/>
  <c r="K283" i="2" l="1"/>
  <c r="K280" i="2" s="1"/>
  <c r="K243" i="2" l="1"/>
  <c r="K242" i="2" s="1"/>
  <c r="W84" i="2" l="1"/>
  <c r="P336" i="2" l="1"/>
  <c r="W85" i="2"/>
  <c r="P105" i="2"/>
  <c r="P107" i="2"/>
  <c r="L108" i="2"/>
  <c r="M108" i="2"/>
  <c r="N108" i="2"/>
  <c r="O108" i="2"/>
  <c r="L109" i="2"/>
  <c r="M109" i="2"/>
  <c r="N109" i="2"/>
  <c r="O109" i="2"/>
  <c r="K109" i="2" l="1"/>
  <c r="K106" i="2"/>
  <c r="K105" i="2"/>
  <c r="K108" i="2"/>
  <c r="K107" i="2"/>
  <c r="K94" i="2"/>
  <c r="K93" i="2"/>
  <c r="O336" i="2" l="1"/>
  <c r="N336" i="2"/>
  <c r="L335" i="2"/>
  <c r="N335" i="2"/>
  <c r="L336" i="2"/>
  <c r="O335" i="2"/>
  <c r="M291" i="2" l="1"/>
  <c r="M288" i="2"/>
  <c r="M155" i="2" l="1"/>
  <c r="M131" i="2"/>
  <c r="M160" i="2"/>
  <c r="M141" i="2" l="1"/>
  <c r="M335" i="2" l="1"/>
  <c r="K335" i="2" s="1"/>
  <c r="K299" i="2"/>
  <c r="P335" i="2" l="1"/>
  <c r="P338" i="2"/>
  <c r="K294" i="2" l="1"/>
  <c r="K282" i="2"/>
  <c r="K200" i="2" l="1"/>
  <c r="K197" i="2"/>
  <c r="K192" i="2"/>
  <c r="M150" i="2" l="1"/>
  <c r="K139" i="2" l="1"/>
  <c r="K155" i="2" l="1"/>
  <c r="K210" i="2" l="1"/>
  <c r="K207" i="2"/>
  <c r="M191" i="2"/>
  <c r="K133" i="2"/>
  <c r="M130" i="2" l="1"/>
  <c r="M159" i="2"/>
  <c r="M140" i="2"/>
  <c r="K288" i="2" l="1"/>
  <c r="M287" i="2" l="1"/>
  <c r="M266" i="2"/>
  <c r="M336" i="2" l="1"/>
  <c r="K336" i="2" s="1"/>
  <c r="M149" i="2" l="1"/>
  <c r="M148" i="2" l="1"/>
  <c r="M129" i="2" l="1"/>
  <c r="K291" i="2" l="1"/>
  <c r="N290" i="2"/>
  <c r="M290" i="2"/>
  <c r="K279" i="2" l="1"/>
  <c r="N289" i="2" l="1"/>
  <c r="M289" i="2"/>
  <c r="N277" i="2"/>
  <c r="M277" i="2"/>
  <c r="N285" i="2"/>
  <c r="M285" i="2"/>
  <c r="N275" i="2"/>
  <c r="M275" i="2"/>
  <c r="K191" i="2" l="1"/>
  <c r="K158" i="2" l="1"/>
  <c r="M268" i="2" l="1"/>
  <c r="K271" i="2"/>
  <c r="K266" i="2"/>
  <c r="M263" i="2"/>
  <c r="K290" i="2" l="1"/>
  <c r="K289" i="2"/>
  <c r="K287" i="2"/>
  <c r="K286" i="2"/>
  <c r="K206" i="2" l="1"/>
  <c r="M190" i="2"/>
  <c r="K160" i="2" l="1"/>
  <c r="K159" i="2"/>
  <c r="K154" i="2" l="1"/>
  <c r="K278" i="2" l="1"/>
  <c r="M276" i="2" l="1"/>
  <c r="M274" i="2" l="1"/>
  <c r="K142" i="2" l="1"/>
  <c r="K141" i="2"/>
  <c r="K140" i="2"/>
  <c r="K131" i="2"/>
  <c r="K130" i="2"/>
  <c r="K129" i="2"/>
  <c r="K150" i="2"/>
  <c r="K149" i="2"/>
  <c r="K148" i="2"/>
  <c r="M153" i="2" l="1"/>
  <c r="M147" i="2"/>
  <c r="K194" i="2" l="1"/>
  <c r="K193" i="2"/>
  <c r="K285" i="2" l="1"/>
  <c r="K277" i="2"/>
  <c r="K190" i="2" l="1"/>
  <c r="K263" i="2"/>
  <c r="K268" i="2"/>
  <c r="K275" i="2"/>
  <c r="M189" i="2"/>
  <c r="K189" i="2" s="1"/>
  <c r="N274" i="2"/>
  <c r="K284" i="2"/>
  <c r="K276" i="2"/>
  <c r="K153" i="2"/>
  <c r="K147" i="2"/>
  <c r="M187" i="2"/>
  <c r="K187" i="2" s="1"/>
  <c r="M195" i="2"/>
  <c r="K195" i="2" s="1"/>
  <c r="K205" i="2"/>
  <c r="K196" i="2"/>
  <c r="M204" i="2"/>
  <c r="K204" i="2" s="1"/>
  <c r="K273" i="2"/>
  <c r="K274" i="2" l="1"/>
</calcChain>
</file>

<file path=xl/sharedStrings.xml><?xml version="1.0" encoding="utf-8"?>
<sst xmlns="http://schemas.openxmlformats.org/spreadsheetml/2006/main" count="809" uniqueCount="491">
  <si>
    <t>Бегуницкое сельское поселение Волосовского муниципального района</t>
  </si>
  <si>
    <t>Красносельское сельское поселение Выборгского района</t>
  </si>
  <si>
    <t xml:space="preserve">Комитет </t>
  </si>
  <si>
    <t>Комитет по ТЭК</t>
  </si>
  <si>
    <t>Торковичское сельское поселение Лужского муниципального района</t>
  </si>
  <si>
    <t>в том числе</t>
  </si>
  <si>
    <t>областной бюджет</t>
  </si>
  <si>
    <t>Ожидаемый рузультат  реализации мероприя-тия</t>
  </si>
  <si>
    <t>Сосновское сельское поселение Приозерского муниципального района</t>
  </si>
  <si>
    <t>Скребловское сельское поселение Лужского муниципального района</t>
  </si>
  <si>
    <t>Низинское сельское поселение Ломоносовского муниципального района</t>
  </si>
  <si>
    <t>Пашское сельское поселение Волховского муниципального района</t>
  </si>
  <si>
    <t>Финансовый год</t>
  </si>
  <si>
    <t>прочие источники</t>
  </si>
  <si>
    <t>ПЕРЕЧЕНЬ</t>
  </si>
  <si>
    <t>В стадии разработки</t>
  </si>
  <si>
    <t>1.3.1.</t>
  </si>
  <si>
    <t>1.4.16.</t>
  </si>
  <si>
    <t>Всего</t>
  </si>
  <si>
    <t>Куйвозовское сельское поселение Всеволожского муниципального района</t>
  </si>
  <si>
    <t xml:space="preserve"> 1ед., 30 посещений в          смену (2018)</t>
  </si>
  <si>
    <t>150 мест (2017)</t>
  </si>
  <si>
    <t>150 мест (2018)</t>
  </si>
  <si>
    <t>1,2 км (2017)</t>
  </si>
  <si>
    <t>1,5 км (2017)</t>
  </si>
  <si>
    <t>в ценах года начала строительства (проектирования)</t>
  </si>
  <si>
    <t>Бюджетополучатель</t>
  </si>
  <si>
    <t>федеральный бюджет</t>
  </si>
  <si>
    <t>УТВЕРЖДЕН</t>
  </si>
  <si>
    <t>Ленинградской области</t>
  </si>
  <si>
    <t xml:space="preserve">постановлением Правительства  </t>
  </si>
  <si>
    <t>Финансирование строительства дома культуры                               со зрительным залом на 150 мест, пос.Курск</t>
  </si>
  <si>
    <t>_______________</t>
  </si>
  <si>
    <t>2015-2018</t>
  </si>
  <si>
    <t>Финансирование объекта "Распределительный газопровод дер.Энколово (2-ая очередь)", в т.ч. проектные работы (2,5 км)</t>
  </si>
  <si>
    <r>
      <t xml:space="preserve"> 2016</t>
    </r>
    <r>
      <rPr>
        <sz val="10"/>
        <rFont val="Calibri"/>
        <family val="2"/>
        <charset val="204"/>
      </rPr>
      <t>¹</t>
    </r>
  </si>
  <si>
    <t>2016-2019</t>
  </si>
  <si>
    <t>Волховский муниципальный район</t>
  </si>
  <si>
    <r>
      <t>2017</t>
    </r>
    <r>
      <rPr>
        <sz val="10"/>
        <rFont val="Calibri"/>
        <family val="2"/>
        <charset val="204"/>
      </rPr>
      <t>¹</t>
    </r>
  </si>
  <si>
    <t xml:space="preserve"> 2017¹</t>
  </si>
  <si>
    <t>12506,0²</t>
  </si>
  <si>
    <t>Положительное заключение ГАУ "Леноблгосэкспертиза" от 29.03.2017 г.                 №47-1-7-0274-17</t>
  </si>
  <si>
    <t>15941,4                        (в ценах 2016 г.)</t>
  </si>
  <si>
    <r>
      <t>2018</t>
    </r>
    <r>
      <rPr>
        <sz val="10"/>
        <rFont val="Calibri"/>
        <family val="2"/>
        <charset val="204"/>
      </rPr>
      <t>¹</t>
    </r>
  </si>
  <si>
    <t>³ Перечень объектов утверждается распоряжением комитета по агропромышленному и рыбохозяйственному комплексу Ленинградской области.</t>
  </si>
  <si>
    <t>2018¹</t>
  </si>
  <si>
    <t>250 890,34²</t>
  </si>
  <si>
    <t xml:space="preserve">Положительное заключение ГАУ "Леноблгосэкспертиза"   от 03.06.2015 г.                  №47-1-7-0216-15 (откорр. от 18.09.2017 г. №1-1-2-0022-17) </t>
  </si>
  <si>
    <t>Положительное заключение ГАУ "Леноблгосэкспертиза" от 02.03.2017г.           №47-1-7-0203-17</t>
  </si>
  <si>
    <t>199805,281²</t>
  </si>
  <si>
    <t>223 324,83 (в ценах 2016 г.)</t>
  </si>
  <si>
    <t>2019¹</t>
  </si>
  <si>
    <t xml:space="preserve"> 266 035,23 (в ценах 2014 г)</t>
  </si>
  <si>
    <t>156785,0</t>
  </si>
  <si>
    <t>Положительное заключение ГАУ "Леноблгосэкспертиза" от 04.04.2017 г.                     №47-1-7-0397-1</t>
  </si>
  <si>
    <t xml:space="preserve">Положительное заключение ГАУ "Леноблгосэкспертиза" от 21.11.2017 г. №47-1-7-1027-17 </t>
  </si>
  <si>
    <t>38132,42 (в ценах 2017 г.)</t>
  </si>
  <si>
    <t xml:space="preserve">Положительное заключение ГАУ "Леноблгосэкспертиза" от 02.07.2018 г.                  №47-1-0149-18 </t>
  </si>
  <si>
    <t>11203,38 (в ценах 2018 г.)</t>
  </si>
  <si>
    <t xml:space="preserve">Положительное заключение ГАУ "Леноблгосэкспертиза"  от 22.12.2014 № 47-1-7-0403-14 </t>
  </si>
  <si>
    <t>317074,3</t>
  </si>
  <si>
    <t>ГКУ "Ленавтодор"</t>
  </si>
  <si>
    <t xml:space="preserve">Положительное заключение ГАУ "Леноблгосэкспертиза" от 05.03.2019 г.                  №47-1-0044-19 </t>
  </si>
  <si>
    <t>15253,11(в ценах 2019 г.)</t>
  </si>
  <si>
    <t>15253,11</t>
  </si>
  <si>
    <t>20000,0</t>
  </si>
  <si>
    <r>
      <t>10204,8526</t>
    </r>
    <r>
      <rPr>
        <sz val="10"/>
        <rFont val="Calibri"/>
        <family val="2"/>
        <charset val="204"/>
      </rPr>
      <t>²</t>
    </r>
  </si>
  <si>
    <t>ГКУ «УС ЛО»</t>
  </si>
  <si>
    <t>Основное мероприятие "Развитие  сети дошкольных образовательных и общеобразовательных организаций на сельских территориях"</t>
  </si>
  <si>
    <t>2020-2022</t>
  </si>
  <si>
    <t>Положительное заключение ГАУ "Леноблгосэкспертиза" №47-1-0261-18  от 24.12.2018</t>
  </si>
  <si>
    <t>509873,4 (в ценах 2018 г.)</t>
  </si>
  <si>
    <t>Ломоносовский муниципальный район</t>
  </si>
  <si>
    <t xml:space="preserve">объектов государственной программы Ленинградской области "Комплексное развитие сельских территорий Ленинградской области" </t>
  </si>
  <si>
    <t>64139,01</t>
  </si>
  <si>
    <t>Строительство фельдшерско-акушерского пункта, в том числе проектные работы,дер.Яльгелево,  Ломоносовского муниципального района   (20 посещений в смену)</t>
  </si>
  <si>
    <t>54385</t>
  </si>
  <si>
    <t>Государственное казенное учреждение "Управление строительства Ленинградской области" (далее -ГКУ «УС ЛО»)</t>
  </si>
  <si>
    <t>68661,0</t>
  </si>
  <si>
    <r>
      <t>2015-2020</t>
    </r>
    <r>
      <rPr>
        <sz val="10"/>
        <rFont val="Calibri"/>
        <family val="2"/>
        <charset val="204"/>
      </rPr>
      <t>⁴</t>
    </r>
  </si>
  <si>
    <t>Строительство дома культуры на 150 мест с библиотекой, сблокированный со спорткорпусом по адресу: Ленинградская область, Волховский район, Пашское сельское поселение, с.Паша, ул.Советская, в том числе проектные работы</t>
  </si>
  <si>
    <t>Строительство сельского дома культуры со зрительным залом на 150 мест с библиотекой и спортзалом МО Скребловское сельское поселение в поселке Скреблово Лужский муниципальный район Ленинградской области</t>
  </si>
  <si>
    <t>Положительное заключение ГАУ "Леноблгосэкспертиза" от 06.06.2016 № 47-1-7-0534-16.</t>
  </si>
  <si>
    <t>237961,6</t>
  </si>
  <si>
    <t>Дом культуры с универсальным зрительным залом на 200 мест, библиотекой на 6 тыс. экз. и помещениями для учреждений по работе с детьми и молодежью в дер. Пеники Ломоносовского муниципального района Ленинградской области</t>
  </si>
  <si>
    <t>Пениковское сельское поселение Ломоносовского муниципального района</t>
  </si>
  <si>
    <t>Положительное заключения ГАУ "Леноблгосэкспертиза"  от 29 мая 2019 года № 47-1-0105-19.</t>
  </si>
  <si>
    <t>154472,6</t>
  </si>
  <si>
    <t>224 766,0                                                   (в ценах 2014 г.)</t>
  </si>
  <si>
    <t>204 809,45                    (в ценах 2016 г.)</t>
  </si>
  <si>
    <t>157472,57 (в ценах 2019 г.)</t>
  </si>
  <si>
    <t>137521,8 (в ценах 2016 г.)</t>
  </si>
  <si>
    <t>Плавательный бассейн по адресу: 188505, Ленинградская область, Ломоносовский район, пос. Аннино (ЕПС-58 чел.)</t>
  </si>
  <si>
    <t>Положительное заключение ГАУ "Леноблгосэкспертиза" от 21.12.2018 №47-1-0258-18.</t>
  </si>
  <si>
    <t>144725,45 (в ценах 2018 г.)</t>
  </si>
  <si>
    <t>Аннинское гороское поселение Ломоносовского муниципального района</t>
  </si>
  <si>
    <t>149364,0</t>
  </si>
  <si>
    <r>
      <t>2017-2020</t>
    </r>
    <r>
      <rPr>
        <sz val="10"/>
        <rFont val="Calibri"/>
        <family val="2"/>
        <charset val="204"/>
      </rPr>
      <t>⁴</t>
    </r>
    <r>
      <rPr>
        <sz val="10"/>
        <rFont val="Times New Roman"/>
        <family val="1"/>
        <charset val="204"/>
      </rPr>
      <t xml:space="preserve"> </t>
    </r>
  </si>
  <si>
    <t>Мероприятие "Строительство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продукции"</t>
  </si>
  <si>
    <t>Мероприятие "Строительство, реконструкция, капитальный ремонт и ремонт автомобильных дорог, связывающих объекты сельскохозяйственного назначения между собой и/или с дорогами общего пользования"</t>
  </si>
  <si>
    <t xml:space="preserve">Сельскохозяйственные товаропроизводители
</t>
  </si>
  <si>
    <t>2020</t>
  </si>
  <si>
    <t>Положительное заключение ГАУ "Леноблгосэкспертиза" от 26.11.2018г.           №47-1-7-0236-18</t>
  </si>
  <si>
    <t>24 799,11 (в ценах 2018 года)</t>
  </si>
  <si>
    <t>Положительное заключение ГАУ "Леноблгосэкспертиза" от 26.06.2019г.           №47-1-7-0118-19</t>
  </si>
  <si>
    <t>162 953,58 (в ценах 2018 года)</t>
  </si>
  <si>
    <t>Пустомержское сельское поселение Кингисеппского муниципального района</t>
  </si>
  <si>
    <t>Каменногорское городское поселение Выборгского района</t>
  </si>
  <si>
    <t xml:space="preserve">Положительное заключение ГАУ "Леноблгосэкспертиза" от 19.11.2019 г.                  №47-1-0215-19 </t>
  </si>
  <si>
    <t>40269,92 (в ценах 2019 г.)</t>
  </si>
  <si>
    <t>40269,92</t>
  </si>
  <si>
    <t>28482,8</t>
  </si>
  <si>
    <t>(приложение 1)</t>
  </si>
  <si>
    <t>Положительное заключение ГАУ "Леноблгосэкспертиза" от 15.08.2019 №47-1-0155-19</t>
  </si>
  <si>
    <t>58483,2 (в ценах 2019 г.)</t>
  </si>
  <si>
    <t>Клопицкое сельское поселение Волосовского муниципального района</t>
  </si>
  <si>
    <t>Строительство муниципального  образовательного учреждения на 450 мест в д. Малое Карлино Ломоносовского  района по адресу: Ленинградская область, Ломоносовский муниципальный район, Виллозское сельское поселение, д.Малое Карлино, д.5</t>
  </si>
  <si>
    <t>от 7 февраля 2020 года № 44</t>
  </si>
  <si>
    <t>4.2</t>
  </si>
  <si>
    <t>4.3</t>
  </si>
  <si>
    <t>7.1</t>
  </si>
  <si>
    <t>2.1</t>
  </si>
  <si>
    <t>2.3</t>
  </si>
  <si>
    <t>2.4</t>
  </si>
  <si>
    <t>2.5</t>
  </si>
  <si>
    <t>2.6</t>
  </si>
  <si>
    <t>2.7</t>
  </si>
  <si>
    <t>3.1</t>
  </si>
  <si>
    <t>3.2</t>
  </si>
  <si>
    <t>4.1</t>
  </si>
  <si>
    <t>4.4</t>
  </si>
  <si>
    <t>4.5</t>
  </si>
  <si>
    <t>4.6</t>
  </si>
  <si>
    <t>4.7</t>
  </si>
  <si>
    <t>5.1</t>
  </si>
  <si>
    <t>5.2</t>
  </si>
  <si>
    <t>5.3</t>
  </si>
  <si>
    <t>5.4</t>
  </si>
  <si>
    <t>6.1</t>
  </si>
  <si>
    <t>6.2</t>
  </si>
  <si>
    <t>6.3</t>
  </si>
  <si>
    <t>6.4</t>
  </si>
  <si>
    <t>7.3</t>
  </si>
  <si>
    <t>7.4</t>
  </si>
  <si>
    <t>7.5</t>
  </si>
  <si>
    <t>7.11</t>
  </si>
  <si>
    <t>2022-2023</t>
  </si>
  <si>
    <t>Выборгский район</t>
  </si>
  <si>
    <t>Реконструкция автодороги "Подъезд к п. Михалево" (1,633 км)</t>
  </si>
  <si>
    <t>5.7</t>
  </si>
  <si>
    <t>Строительство дома культуры на 120 мест, в том числе проектные работы, пос.Заборье</t>
  </si>
  <si>
    <t xml:space="preserve">Положительное заключение ГАУ "Леноблгосэкспертиза" от 17.12.2015 г.                     №47-1-7-0545-15 </t>
  </si>
  <si>
    <t>71827,3 (в ценах 2015 г.)</t>
  </si>
  <si>
    <t>65631,9²</t>
  </si>
  <si>
    <t>Лидское сельское поселение Бокситогорского муниципального района</t>
  </si>
  <si>
    <t xml:space="preserve">Положительное заключение ГАУ "Леноблгосэкспертиза" от 08.05.2013 г.                   №47-1-7-0235-13 </t>
  </si>
  <si>
    <t>51819 (в ценах              2012 г.)</t>
  </si>
  <si>
    <t>55277,5²</t>
  </si>
  <si>
    <t>Романовское сельское поселение Всеволожского муниципального района</t>
  </si>
  <si>
    <t xml:space="preserve">Наименование объекта и местонахождение объекта </t>
  </si>
  <si>
    <t>Проектная мощность</t>
  </si>
  <si>
    <t>Срок реализации</t>
  </si>
  <si>
    <t xml:space="preserve">Информация                              о состоянии                   проектно-сметной документации                 </t>
  </si>
  <si>
    <t>Утвержденная и (или) прогнозируемая сметная стоимость объекта, тыс. руб.</t>
  </si>
  <si>
    <t>Заказчик</t>
  </si>
  <si>
    <t>Плановый объем финансирования (тыс. рублей)</t>
  </si>
  <si>
    <t>местный бюджет</t>
  </si>
  <si>
    <t>в т.ч. строительно-монтажные работы (далее-СМР)</t>
  </si>
  <si>
    <t>0,0</t>
  </si>
  <si>
    <t>в т.ч. ПИР</t>
  </si>
  <si>
    <t>в т.ч. СМР</t>
  </si>
  <si>
    <t xml:space="preserve">Строительство автодороги "Подъезд к дер. Козарево" по адресу: Ленинградская область, Волховский район </t>
  </si>
  <si>
    <t>5,667 км</t>
  </si>
  <si>
    <t xml:space="preserve">5,4 км </t>
  </si>
  <si>
    <t xml:space="preserve">Реконструкция автомобильной дороги общего пользования регионального значения "Путилово - Поляны" км 0+600 – км 6+000 в Кировском районе Ленинградской области, в т.ч. проектные работы </t>
  </si>
  <si>
    <t>4 км</t>
  </si>
  <si>
    <t>Реконструкция автомобильной дороги общего пользования регионального значения "13 км автодороги "Магистральная" - ст. Апраксин" в Кировском районе Ленинградской области, в т.ч. проектные работы</t>
  </si>
  <si>
    <t>16 км</t>
  </si>
  <si>
    <t>2,5 км</t>
  </si>
  <si>
    <t xml:space="preserve">Реконструкция автомобильной дороги общего пользования регионального значения "Подъезд к пос. Неппово" в Кингисеппском районе Ленинградской области, в т.ч. проектные работы </t>
  </si>
  <si>
    <t xml:space="preserve">Строительство двух подъездных путей к строящемуся объекту: "Строительство общеобразовательной школы на 220 мест в д.Большая Пустомержа Кингисеппского района Ленинградской области" по адресу: Ленинградская область, Кингисеппский район, д. Большая Пустомержав Кингисеппском районе Ленинградской области </t>
  </si>
  <si>
    <t>0,36357 км</t>
  </si>
  <si>
    <t>1,633 км</t>
  </si>
  <si>
    <t>в т.ч.СМР</t>
  </si>
  <si>
    <t>450 мест</t>
  </si>
  <si>
    <t>1 ед., 15 человек в день</t>
  </si>
  <si>
    <t xml:space="preserve">Строительство фельдшерско-акушерского пункта, дер.Васкелово Всеволожского муниципального района </t>
  </si>
  <si>
    <t>1 ед., 20 посещений в смену</t>
  </si>
  <si>
    <t>1 ед., 110 посещений в смену, стационар на 5 коек</t>
  </si>
  <si>
    <t xml:space="preserve">Строительство врачебной амбулатории,  в том числе проектные работы, дер.Лаголово, Ломоносовский район  </t>
  </si>
  <si>
    <t xml:space="preserve">Строительство фельдшерско-акушерского пункта,в том числе проектные работы, дер.Нурма,  Тосненского района </t>
  </si>
  <si>
    <t xml:space="preserve">Строительство фельдшерско-акушерского пункта, в том числе проектные работы,дер.Яльгелево,  Ломоносовского муниципального района </t>
  </si>
  <si>
    <t xml:space="preserve">Строительство объекта: «Фельдшерско-акушерский пункт» по адресу: Ленинградская область, Сланцевский муниципальный район, Старопольское сельское поселение, дер. Овсище, участок 254  </t>
  </si>
  <si>
    <t>Строительство фельдшерско-акушерского пункта, в т.ч. проектные работы, дер.Ям-Тесово, Лужский муниципальный район</t>
  </si>
  <si>
    <t>150 мест</t>
  </si>
  <si>
    <t>Строительство Дома культуры в поселке Торковичи Лужского района Ленинградской области по адресу: Ленинградская область, Лужский район, п.Торковичи, ул. 2-я Гражданская</t>
  </si>
  <si>
    <t>200 мест</t>
  </si>
  <si>
    <t>120 мест</t>
  </si>
  <si>
    <t>ЕПС - 58 чел.</t>
  </si>
  <si>
    <t>4,998 км</t>
  </si>
  <si>
    <t>Строительство 2-й нитки водовода от ВОС г.Всеволожска до ВНС пос.Романовка. Реконструкция ВНС пос.Романовка</t>
  </si>
  <si>
    <t>1,2 км</t>
  </si>
  <si>
    <t xml:space="preserve">Строительство объекта "Газоснабжение ,дер.Ненимяки", в том числе проектные работы </t>
  </si>
  <si>
    <t>в т.ч.ПИР</t>
  </si>
  <si>
    <t>1,5 км</t>
  </si>
  <si>
    <t>Строительство объекта "Газоснабжение дер.Гарболово", в том числе проектные работы</t>
  </si>
  <si>
    <t xml:space="preserve">Строительство объекта "Газоснабжение дер.Нижняя Шальдиха", в том числе проектные работы  </t>
  </si>
  <si>
    <t>10,3 км</t>
  </si>
  <si>
    <t>Распределительный газопровод пос.Колосково, в т.ч. проектные работы</t>
  </si>
  <si>
    <t>Распределительный газопровод по ул. Железнодорожная, ул. Комсомольская, пер. Почтовый, пер.Финский, ул.Первомайская, пер. Нагорный, ул.Нагорная в поселке Мичуринское Приозерского района Ленинградской области, в т.ч. проектные работы</t>
  </si>
  <si>
    <t>19,5 км</t>
  </si>
  <si>
    <t xml:space="preserve">Газоснабжение пос.Красносельское, в т.ч.проектные работы </t>
  </si>
  <si>
    <t>2017-2022⁴</t>
  </si>
  <si>
    <t>6,8 км</t>
  </si>
  <si>
    <t xml:space="preserve">Подводящий и распределительный газопровод по д.Узигонты, в т.ч. проектные работы </t>
  </si>
  <si>
    <t>Всего по государственной программе</t>
  </si>
  <si>
    <t>Фактические расходы на создание объекта (нарастающим итогом) за предыдущие периоды реализации, тыс. руб.</t>
  </si>
  <si>
    <t>Правительства  Ленинградской области</t>
  </si>
  <si>
    <r>
      <t>268677,6</t>
    </r>
    <r>
      <rPr>
        <sz val="10"/>
        <rFont val="Calibri"/>
        <family val="2"/>
        <charset val="204"/>
      </rPr>
      <t>²</t>
    </r>
  </si>
  <si>
    <t>Положительное заключение ГАУ "Леноблгосэкспертиза" от 24.08.2020 №47-1-1-3-040612-2020</t>
  </si>
  <si>
    <t xml:space="preserve">Положительное заключение ГАУ "Леноблгосэкспертиза" от 07.04.2020 г. №47-1-0057-20 </t>
  </si>
  <si>
    <t>281717,04 (в ценах 2020 года)</t>
  </si>
  <si>
    <t>51636,63 (в ценах 2019 года)</t>
  </si>
  <si>
    <t>6.5</t>
  </si>
  <si>
    <t>2021-2022</t>
  </si>
  <si>
    <t>Строительство универсальной спортивной площадки МО Губаницкое сельское поселение Волосовского района Ленинградской области по адресу: п.Сумино Волосовского района Ленинградской области  кадастровый № участка 47:22:0612005:53</t>
  </si>
  <si>
    <t>9683,0 кв.м</t>
  </si>
  <si>
    <t>Положительное заключение ГАУ "Леноблгосэкспертиза" от 02.02.2017 №47-1-7-0335-17</t>
  </si>
  <si>
    <t>24432,15 (в ценах 2016 г.)</t>
  </si>
  <si>
    <t>Положительное заключение ГАУ "Леноблгосэкспертиза" от 08.04.2020 №47-1-0058-20</t>
  </si>
  <si>
    <t>61852,44 (в ценах 2019 г.)</t>
  </si>
  <si>
    <t>в т.ч. ПИР и СМР</t>
  </si>
  <si>
    <t xml:space="preserve">Реконструкция автомобильной дороги общего пользования регионального значения "Петрово - станция Малукса в Кировском районе Ленинградской области", в т.ч. проектные работы </t>
  </si>
  <si>
    <t>Строительство дома культуры на 150 мест с библиотекой, сблокированный со спорткорпусом по адресу: Ленинградская область, Волховский район, Пашское сельское поселение, с.Паша, ул.Советская, в том числе проектные работы и оплата технологического присоединения</t>
  </si>
  <si>
    <t>Строительство Дома культуры на 150 мест в д.Терпилицы Волосовского муниципального района Ленинградской области</t>
  </si>
  <si>
    <r>
      <t>2016-2022</t>
    </r>
    <r>
      <rPr>
        <sz val="10"/>
        <rFont val="Calibri"/>
        <family val="2"/>
        <charset val="204"/>
      </rPr>
      <t>⁴</t>
    </r>
  </si>
  <si>
    <t>2020-2022 (проектные работы)</t>
  </si>
  <si>
    <t>Мероприятие по строительству, реконструкции, модернизации объектов образования</t>
  </si>
  <si>
    <t>1.1</t>
  </si>
  <si>
    <t>1.2</t>
  </si>
  <si>
    <t>1.3</t>
  </si>
  <si>
    <t>416 посещений в сутки</t>
  </si>
  <si>
    <t>Гатчинский муниципальный район</t>
  </si>
  <si>
    <t>180 мест</t>
  </si>
  <si>
    <t>265 мест</t>
  </si>
  <si>
    <t>Кировский муниципальный район</t>
  </si>
  <si>
    <t>3.3</t>
  </si>
  <si>
    <t>3.4</t>
  </si>
  <si>
    <t>3.5</t>
  </si>
  <si>
    <t>Мероприятие по строительству, реконструкции, модернизации объектов культуры</t>
  </si>
  <si>
    <t>Реконструкция здания Дома культуры по адресу:Ленинградская область, Ломоносовский муниципальный район, Аннинское городское поселение, г.п.Новоселье, Красносельское шоссе, здание 15</t>
  </si>
  <si>
    <t>2022</t>
  </si>
  <si>
    <t>Аннинское городское поселение Ломоносовского муниципального района</t>
  </si>
  <si>
    <t>250 мест</t>
  </si>
  <si>
    <t>2024</t>
  </si>
  <si>
    <t>Вознесенское городское поселение Подпорожского муниципального района</t>
  </si>
  <si>
    <t>300 мест</t>
  </si>
  <si>
    <t>Лебяженское городское поселение Ломоносовского муниципального района</t>
  </si>
  <si>
    <t>Мероприятие по строительству, реконструкции, модернизации объектов спорта</t>
  </si>
  <si>
    <t>2320 кв.м</t>
  </si>
  <si>
    <t>Лужский муниципальный район</t>
  </si>
  <si>
    <t>3726 кв.м</t>
  </si>
  <si>
    <t>Полянское сельское поселение Выборгского района</t>
  </si>
  <si>
    <t>Строительство футбольного поля с натуральным травяным покрытием по адресу:Ленинградская область, Лужский район, Оредежское сельское поселение, п.Оредеж, ул. Комсомола,6а</t>
  </si>
  <si>
    <t>10201,0 кв.м</t>
  </si>
  <si>
    <t>Оредежское сельское поселение Лужского муниципального района</t>
  </si>
  <si>
    <t>Веревское сельское поселение Гатчинского муниципального района</t>
  </si>
  <si>
    <t>Мероприятие по строительству объектов газоснабжения</t>
  </si>
  <si>
    <t>Распределительный газопровод в п. Новоселье Ломоносовского района Ленинградской области Адрес: Ленинградская область, Ломоносовский муниципальный район, Аннинское городское поселение, гп. Новоселье, ул.Серафимовская, ул. Большая Балтийская, ул. Ольховая</t>
  </si>
  <si>
    <t>1 км.</t>
  </si>
  <si>
    <t>2023</t>
  </si>
  <si>
    <t>3,8  км</t>
  </si>
  <si>
    <t xml:space="preserve">0,25594 км </t>
  </si>
  <si>
    <t xml:space="preserve">Положительное заключение ГАУ "Леноблгосэкспертиза" от 16.04.2021                                           N 47-1-1-3-019016-2021             </t>
  </si>
  <si>
    <t>41361,25 (в ценах 2020 года)</t>
  </si>
  <si>
    <t>Строительство автомобильной дороги "Подъезд к пос. Яшино" по адресу: Ленинградская область, Выборгский район, Селезневское сельское поселение"</t>
  </si>
  <si>
    <t>Положительное заключение ГАУ "Леноблгосэкспертиза" № 47-1-0035-20 от 04.03.2020</t>
  </si>
  <si>
    <t>239704,63 (в ценах 2019 года)</t>
  </si>
  <si>
    <t>Положительное заключение ГАУ "Леноблгосэкспертиза"  № 47-1-8-0726-18  от 04.12.2018</t>
  </si>
  <si>
    <t>192705,46 (в ценах 2018 г.)</t>
  </si>
  <si>
    <t>Положительное заключение ГАУ "Леноблгосэкспертиза"  № 47-1-0153-18  от 13.07.2018</t>
  </si>
  <si>
    <t>246107,29 (в ценах 2017 г.)</t>
  </si>
  <si>
    <t>Положительное заключение ГАУ "Леноблгосэкспертиза" № 47-1-1-3-056461-2021 от 30.09.2021</t>
  </si>
  <si>
    <t>9428,64 (в ценах 2021 года)</t>
  </si>
  <si>
    <t>Положительное заключение ГАУ "Леноблгосэкспертиза" № 47-1-7-0059-16 от 14.03.2016</t>
  </si>
  <si>
    <t>168296,45 (в ценах 2015 года)</t>
  </si>
  <si>
    <t>Положительное заключение ГАУ "Леноблгосэкспертиза" № 47-1-0036-20 от 04.03.2020</t>
  </si>
  <si>
    <t>368440,87 (в ценах 2020 года)</t>
  </si>
  <si>
    <t>Положительное заключение ГАУ "Леноблгосэкспертиза" № 47-1-1-2-023820-2020 от 09.06.2020</t>
  </si>
  <si>
    <t>12 799,98 (в ценах 2020 года)</t>
  </si>
  <si>
    <t>Положительное заключение ГАУ "Леноблгосэкспертиза" №47-1-1-2-066956-2020 от 23.12.2020</t>
  </si>
  <si>
    <t>29210,14 ( в ценах 2020 года)</t>
  </si>
  <si>
    <t>Положительное заключение ГАУ "Леноблгосэкспертиза" № 47-1-1-2-064232-2020 от 14.12.2020</t>
  </si>
  <si>
    <t>26955,76 ( в ценах 2020 года)</t>
  </si>
  <si>
    <t>Положительное заключение ГАУ "Леноблгосэкспертиза"  № 47-1-1-3-050962-2020 от 13.10.2020</t>
  </si>
  <si>
    <t>3955,23 (в ценах 2020 года)</t>
  </si>
  <si>
    <t>Положительное заключение ГАУ "Леноблгосэкспертиза"  47-1-1-3-063066-2020 от  09.12.2020</t>
  </si>
  <si>
    <t xml:space="preserve">14888,24  (в ценах 2020 года) </t>
  </si>
  <si>
    <t>(в редакции постановления</t>
  </si>
  <si>
    <r>
      <t>Реконструкция дома культуры в пос. Вознесенье Подпорожского района по адресу: Ленинградская область, Подпорожский район, Вознесенское городское поселение, п. Вознесенье, ул. Труда, д. 21</t>
    </r>
    <r>
      <rPr>
        <sz val="10"/>
        <rFont val="Calibri"/>
        <family val="2"/>
        <charset val="204"/>
      </rPr>
      <t>⁵</t>
    </r>
  </si>
  <si>
    <r>
      <t>Строительство дома культуры на 300 мест в пос. Лебяжье. Адрес: Ленинградская область, Ломоносовский район, п.г. Лебяжье, ул. Советская</t>
    </r>
    <r>
      <rPr>
        <sz val="10"/>
        <rFont val="Calibri"/>
        <family val="2"/>
        <charset val="204"/>
      </rPr>
      <t>⁵</t>
    </r>
  </si>
  <si>
    <r>
      <t>Строительство детско-юношеской спортивной школы на земельном участке по адресу: Ленинградская область, Гатчинский район, г. Коммунар, ул. Просвещения, уч. 3</t>
    </r>
    <r>
      <rPr>
        <sz val="10"/>
        <rFont val="Calibri"/>
        <family val="2"/>
        <charset val="204"/>
      </rPr>
      <t>⁵</t>
    </r>
  </si>
  <si>
    <r>
      <t>Строительство универсальной спортивной площадки в поселке Семиозерье по адресу: Ленинградская область, Выборгский район, пос. Семиозерье, ул. Центральная, уч. 64</t>
    </r>
    <r>
      <rPr>
        <sz val="10"/>
        <rFont val="Calibri"/>
        <family val="2"/>
        <charset val="204"/>
      </rPr>
      <t>⁵</t>
    </r>
  </si>
  <si>
    <r>
      <t>Распределительный газопровод для газоснабжения жилых домов д. Малое Верево (Массив 3, в том числе проектно-изыскательские работы)</t>
    </r>
    <r>
      <rPr>
        <sz val="10"/>
        <rFont val="Calibri"/>
        <family val="2"/>
        <charset val="204"/>
      </rPr>
      <t>⁵</t>
    </r>
  </si>
  <si>
    <t>Мероприятие по строительству (реконструкции) медицинских организаций на сельских территориях</t>
  </si>
  <si>
    <t>Строительство врачебной амбулатории, в том числе проектные работы, пос.Плодовое, Приозерский муниципальный район</t>
  </si>
  <si>
    <t>1 ед., 65 посещений в смену</t>
  </si>
  <si>
    <t>3.6</t>
  </si>
  <si>
    <t>3.7</t>
  </si>
  <si>
    <t>3.8</t>
  </si>
  <si>
    <t>3.9</t>
  </si>
  <si>
    <t>4.8</t>
  </si>
  <si>
    <t>Строительство муниципального дошкольного образовательного учреждения на 220 мест в д. Малое Карлино Ломоносовского района  по адресу: Ленинградская область, Ломоносовский муниципальный район, Виллозское сельское поселение, д.Малое Карлино, д.13</t>
  </si>
  <si>
    <t>220 мест</t>
  </si>
  <si>
    <t>Положительное заключение ГАУ "Леноблгосэкспертиза" №47-1-0267-18  от 28.12.2018</t>
  </si>
  <si>
    <t>253577,22 (в ценах 2018 г.)</t>
  </si>
  <si>
    <t>2.2.</t>
  </si>
  <si>
    <t xml:space="preserve">Мероприятие по строительству (реконструкции) объектов водоснабжения и водоотведения на сельских территориях </t>
  </si>
  <si>
    <t>1.4</t>
  </si>
  <si>
    <t>1.5</t>
  </si>
  <si>
    <t>1.6</t>
  </si>
  <si>
    <t>5,56 км</t>
  </si>
  <si>
    <t>Мичуринское сельское поселение Приозерского муниципального района</t>
  </si>
  <si>
    <t>6.6</t>
  </si>
  <si>
    <t>в т.ч. подключение к источнику газоснабжения</t>
  </si>
  <si>
    <t>Распределительный газопровод дер. Раздолье Приозерского района</t>
  </si>
  <si>
    <t>7,2 км</t>
  </si>
  <si>
    <t>Положительное заключение ГАУ "Леноблгосэкспертиза" от 29.05.2015 N 47-1-7-0211-15</t>
  </si>
  <si>
    <t>20528,9 (в ценах 2015 г.)</t>
  </si>
  <si>
    <t>Раздольевское сельское поселение Приозерского муниципального района</t>
  </si>
  <si>
    <t xml:space="preserve">Распределительный газопровод по ул. Береговая, ул. Школьная в поселке Мичуринское Приозерского района Ленинградской области, в т.ч. проектные работы </t>
  </si>
  <si>
    <t>1,12 км</t>
  </si>
  <si>
    <t xml:space="preserve">Положительное заключение ГАУ "Леноблгосэкспертиза" от 05.03.2019 г.                  №47-1-0042-19 </t>
  </si>
  <si>
    <t>3850,22 (в ценах 2019 г.)</t>
  </si>
  <si>
    <t>Положительное заключение ГАУ "Леноблгосэкспертиза" от 24.03.2014 г.                     №47-1-4-0082-14 (откорр. от 26.01.2022 №47-1-1-3-003542-2022)</t>
  </si>
  <si>
    <t>213583.42 (в ценах 2021 г.)</t>
  </si>
  <si>
    <t>3.10</t>
  </si>
  <si>
    <t>3.11</t>
  </si>
  <si>
    <t xml:space="preserve">Проектирование и строительство модульного ФАП в д.Сухое, Кировский район   
</t>
  </si>
  <si>
    <t xml:space="preserve">Проектирование и строительство модульного ФАП в  пос.Дивенский, Гатчинский район </t>
  </si>
  <si>
    <t xml:space="preserve">Проектирование и строительство модульного ФАП в д.Рель, Лужский район  
</t>
  </si>
  <si>
    <t xml:space="preserve">Проектирование и строительство модульного ФАПа в п.Большое Поле, Выборгский район 
</t>
  </si>
  <si>
    <t>Положительное заключение ГАУ "Леноблгосэкспертиза"  от 10.03.2017 №47-1-7-0393-17 (откорр. от 16.12.2021 №47-1-1-2-078284-2021)</t>
  </si>
  <si>
    <t>109641,26 (в ценах 2016 г.,)</t>
  </si>
  <si>
    <t>Положительное заключение ГАУ "Леноблгосэкспертиза" от 05.10.2017 №47-1-7-1033-17 (откорр. от 29.11.2021 №47-1-1-2-085389-2021)</t>
  </si>
  <si>
    <t>56698,73 в ценах 2016 г.)</t>
  </si>
  <si>
    <r>
      <t>2017-2024</t>
    </r>
    <r>
      <rPr>
        <sz val="10"/>
        <rFont val="Calibri"/>
        <family val="2"/>
        <charset val="204"/>
      </rPr>
      <t>⁴</t>
    </r>
    <r>
      <rPr>
        <sz val="10"/>
        <rFont val="Times New Roman"/>
        <family val="1"/>
        <charset val="204"/>
      </rPr>
      <t xml:space="preserve"> (проектные работы)</t>
    </r>
  </si>
  <si>
    <r>
      <t>2024</t>
    </r>
    <r>
      <rPr>
        <sz val="10"/>
        <rFont val="Calibri"/>
        <family val="2"/>
        <charset val="204"/>
      </rPr>
      <t>¹</t>
    </r>
  </si>
  <si>
    <r>
      <t>2017-2023</t>
    </r>
    <r>
      <rPr>
        <sz val="10"/>
        <rFont val="Calibri"/>
        <family val="2"/>
        <charset val="204"/>
      </rPr>
      <t>⁴</t>
    </r>
  </si>
  <si>
    <r>
      <t>28482,8</t>
    </r>
    <r>
      <rPr>
        <sz val="10"/>
        <rFont val="Calibri"/>
        <family val="2"/>
        <charset val="204"/>
      </rPr>
      <t>⁵</t>
    </r>
  </si>
  <si>
    <r>
      <t>28482,8</t>
    </r>
    <r>
      <rPr>
        <sz val="10"/>
        <rFont val="Calibri"/>
        <family val="2"/>
        <charset val="204"/>
      </rPr>
      <t>²</t>
    </r>
  </si>
  <si>
    <t>2020-2023 (проектные работы)</t>
  </si>
  <si>
    <r>
      <t>2016-2021</t>
    </r>
    <r>
      <rPr>
        <sz val="10"/>
        <rFont val="Calibri"/>
        <family val="2"/>
        <charset val="204"/>
      </rPr>
      <t>⁴</t>
    </r>
  </si>
  <si>
    <r>
      <t>36 126,96</t>
    </r>
    <r>
      <rPr>
        <sz val="10"/>
        <rFont val="Calibri"/>
        <family val="2"/>
        <charset val="204"/>
      </rPr>
      <t>²</t>
    </r>
  </si>
  <si>
    <r>
      <t>95 868,1</t>
    </r>
    <r>
      <rPr>
        <sz val="10"/>
        <rFont val="Calibri"/>
        <family val="2"/>
        <charset val="204"/>
      </rPr>
      <t>²</t>
    </r>
  </si>
  <si>
    <t>2023-2024</t>
  </si>
  <si>
    <t>Строительство улицы Серафимовская по адресу: г.п. Новоселье, МО Аннинское городское поселение, Ломоносовский район, Ленинградская область</t>
  </si>
  <si>
    <t>0,565 км</t>
  </si>
  <si>
    <t>Положительное заключение ГАУ "Леноблгосэкспертиза" от 06.10.2021                                           N 47-1-8-0513-21</t>
  </si>
  <si>
    <t>86271,98 (в ценах 2021 года)</t>
  </si>
  <si>
    <t>2025</t>
  </si>
  <si>
    <t>1.8</t>
  </si>
  <si>
    <t>1.7</t>
  </si>
  <si>
    <t>Положительное заключение ГАУ "Леноблгосэкспертиза" от 28.04.2022 №47-1-1-3-026836-2022</t>
  </si>
  <si>
    <t>2020-2023</t>
  </si>
  <si>
    <t>2020-2024 (проектные работы)</t>
  </si>
  <si>
    <t>2015-2022¹</t>
  </si>
  <si>
    <t>2017-2022¹</t>
  </si>
  <si>
    <t>2014-2022¹</t>
  </si>
  <si>
    <r>
      <t>2022-2022</t>
    </r>
    <r>
      <rPr>
        <sz val="10"/>
        <rFont val="Calibri"/>
        <family val="2"/>
        <charset val="204"/>
      </rPr>
      <t>¹</t>
    </r>
  </si>
  <si>
    <t>2016-2022¹</t>
  </si>
  <si>
    <r>
      <t>2014-2022</t>
    </r>
    <r>
      <rPr>
        <sz val="10"/>
        <rFont val="Calibri"/>
        <family val="2"/>
        <charset val="204"/>
      </rPr>
      <t>¹</t>
    </r>
  </si>
  <si>
    <r>
      <t>2020-2022</t>
    </r>
    <r>
      <rPr>
        <sz val="10"/>
        <rFont val="Calibri"/>
        <family val="2"/>
        <charset val="204"/>
      </rPr>
      <t>¹</t>
    </r>
  </si>
  <si>
    <r>
      <t>2015-2022</t>
    </r>
    <r>
      <rPr>
        <sz val="10"/>
        <rFont val="Calibri"/>
        <family val="2"/>
        <charset val="204"/>
      </rPr>
      <t>¹</t>
    </r>
  </si>
  <si>
    <r>
      <t>2016-2022</t>
    </r>
    <r>
      <rPr>
        <sz val="10"/>
        <rFont val="Calibri"/>
        <family val="2"/>
        <charset val="204"/>
      </rPr>
      <t>¹</t>
    </r>
  </si>
  <si>
    <r>
      <t>2017-2022</t>
    </r>
    <r>
      <rPr>
        <sz val="10"/>
        <rFont val="Calibri"/>
        <family val="2"/>
        <charset val="204"/>
      </rPr>
      <t>¹</t>
    </r>
  </si>
  <si>
    <t>2022²</t>
  </si>
  <si>
    <t>2023²</t>
  </si>
  <si>
    <t>⁵ Ориентировочная сметная стоимость</t>
  </si>
  <si>
    <r>
      <t>20000,0</t>
    </r>
    <r>
      <rPr>
        <sz val="10"/>
        <rFont val="Calibri"/>
        <family val="2"/>
        <charset val="204"/>
      </rPr>
      <t>⁵</t>
    </r>
  </si>
  <si>
    <r>
      <rPr>
        <sz val="11"/>
        <rFont val="Calibri"/>
        <family val="2"/>
        <charset val="204"/>
      </rPr>
      <t xml:space="preserve">⁴ </t>
    </r>
    <r>
      <rPr>
        <sz val="11"/>
        <rFont val="Times New Roman"/>
        <family val="2"/>
        <charset val="204"/>
      </rPr>
      <t>Условно отобранные Минсельхозом РФ объекты, соглашения о предоставлении субсидий на которые заключаются с органом местного самоуправления после заключения соглашения с Минсельхозом РФ, подтверждающим возможность реализации данного объекта</t>
    </r>
  </si>
  <si>
    <t>² С учетом средств, не освоенных в предыдущем финансовом году.</t>
  </si>
  <si>
    <r>
      <rPr>
        <sz val="11"/>
        <rFont val="Calibri"/>
        <family val="2"/>
        <charset val="204"/>
      </rPr>
      <t>¹</t>
    </r>
    <r>
      <rPr>
        <sz val="11"/>
        <rFont val="Times New Roman"/>
        <family val="1"/>
        <charset val="204"/>
      </rPr>
      <t xml:space="preserve"> До 2020 года финансирование объекта осуществлялось в рамках государственной программы Ленинградской области "Развитие сельского хозяйства Ленинградской области"</t>
    </r>
  </si>
  <si>
    <t>389 653,64 в ценах 4 кв. 2021</t>
  </si>
  <si>
    <r>
      <t>2022</t>
    </r>
    <r>
      <rPr>
        <sz val="10"/>
        <rFont val="Calibri"/>
        <family val="2"/>
        <charset val="204"/>
      </rPr>
      <t>¹</t>
    </r>
  </si>
  <si>
    <r>
      <t>23 101,0</t>
    </r>
    <r>
      <rPr>
        <sz val="10"/>
        <rFont val="Calibri"/>
        <family val="2"/>
        <charset val="204"/>
      </rPr>
      <t>²</t>
    </r>
  </si>
  <si>
    <r>
      <t>167 540,2</t>
    </r>
    <r>
      <rPr>
        <sz val="10"/>
        <rFont val="Calibri"/>
        <family val="2"/>
        <charset val="204"/>
      </rPr>
      <t>²</t>
    </r>
  </si>
  <si>
    <r>
      <t>2015-2023</t>
    </r>
    <r>
      <rPr>
        <sz val="11"/>
        <rFont val="Calibri"/>
        <family val="2"/>
        <charset val="204"/>
      </rPr>
      <t>¹</t>
    </r>
  </si>
  <si>
    <r>
      <t>518480,9</t>
    </r>
    <r>
      <rPr>
        <sz val="10"/>
        <rFont val="Calibri"/>
        <family val="2"/>
        <charset val="204"/>
      </rPr>
      <t>²</t>
    </r>
  </si>
  <si>
    <r>
      <t>Строительство дошкольного образовательного учреждения на 180 мест по адресу: Ленинградская область, Гатчинский район, г. Коммунар, массив "Ижора", уч. 4</t>
    </r>
    <r>
      <rPr>
        <sz val="12"/>
        <rFont val="Calibri"/>
        <family val="2"/>
        <charset val="204"/>
      </rPr>
      <t>⁵</t>
    </r>
  </si>
  <si>
    <r>
      <t>Строительство здания для нужд МБОУ "Лицей г. Отрадное" по адресу: Ленинградская область, Кировский район, г. Отрадное, ул. Дружбы, д. 1</t>
    </r>
    <r>
      <rPr>
        <sz val="14"/>
        <rFont val="Times New Roman"/>
        <family val="1"/>
        <charset val="204"/>
      </rPr>
      <t>⁵</t>
    </r>
  </si>
  <si>
    <r>
      <t>Реконструкция универсальной спортивной площадки при МОУ "Скребловская средняя школа" по адресу: Ленинградская область, Лужский муниципальный район, пос. Скреблово, пер. Школьный, д. 2</t>
    </r>
    <r>
      <rPr>
        <sz val="10"/>
        <rFont val="Calibri"/>
        <family val="2"/>
        <charset val="204"/>
      </rPr>
      <t>⁵</t>
    </r>
  </si>
  <si>
    <t xml:space="preserve"> в т.ч. СМР (ГРБС - комитет по здравоохранению Ленинградской области)</t>
  </si>
  <si>
    <t>2022-2024</t>
  </si>
  <si>
    <t>Положительное заключение ГАУ "Леноблгосэкспертиза" от 18.08.2023 г. №47-1-1-2-048864-2023</t>
  </si>
  <si>
    <t>28042,24 (в ценах 2023 года)</t>
  </si>
  <si>
    <t>№  п/п</t>
  </si>
  <si>
    <t>2.3.</t>
  </si>
  <si>
    <t>Отраслевой проект "Развитие транспортной инфраструктуры на сельских территориях"</t>
  </si>
  <si>
    <t>Всего по отраслевому проекту</t>
  </si>
  <si>
    <t>Отраслевой проект "Современный облик сельских территорий"</t>
  </si>
  <si>
    <t>2014-2024¹</t>
  </si>
  <si>
    <t>2015-2026¹</t>
  </si>
  <si>
    <t>2022-2026</t>
  </si>
  <si>
    <t>4.8.</t>
  </si>
  <si>
    <t>2026</t>
  </si>
  <si>
    <t>Пудомягское сельское поселение Гатчинского муниципального района</t>
  </si>
  <si>
    <t>4.9.</t>
  </si>
  <si>
    <t>Строительство детского сада на 180 мест по адресу: Ленинградская область, Гатчинский район, г. Коммунар, массив «Ижора», уч.4⁴</t>
  </si>
  <si>
    <t>Строительство хоккейной площадки по адресу: Ленинградская область, Лужский район, пос.Приозерный,ул.Центральная  у д.8А⁴</t>
  </si>
  <si>
    <t>Ям-Тесовское сельское поселение Лужского муниципального района</t>
  </si>
  <si>
    <t>Кисельнинское сельское поселение Волховского мунциципального района</t>
  </si>
  <si>
    <t>Строительство спортивной площадки в дер. Кисельня Волховского муниципального района Ленинградской области⁴</t>
  </si>
  <si>
    <t>5.5</t>
  </si>
  <si>
    <t>5.6</t>
  </si>
  <si>
    <t>Строительство детско-юношеской спортивной школы на земельном участке по адресу: Ленинградская область, Гатчинский район, г. Коммунар, ул. Просвещения, уч. 3⁴</t>
  </si>
  <si>
    <t>7.2.</t>
  </si>
  <si>
    <t>Строительство новой канализационной насосной станции от п.Победа до очистных сооружений в Выборгском районе Ленинградской области⁴</t>
  </si>
  <si>
    <t>Комитет по жилищно-коммунальному хозяйству Ленинградской области</t>
  </si>
  <si>
    <t xml:space="preserve">Мероприятие по строительству (реконструкции) объектов теплоснабжения на сельских территориях </t>
  </si>
  <si>
    <t>8.1</t>
  </si>
  <si>
    <t xml:space="preserve"> Строительство газовой котельной для Осьминского дома культуры по адресу: Ленинградская область Лужский район п.Осьмино ул.1 Мая д.17</t>
  </si>
  <si>
    <t>Осьминское сельское поселение Лужского муниципального района</t>
  </si>
  <si>
    <t>Рощинское городское поселение Выборгского района</t>
  </si>
  <si>
    <t>Реконструкция системы теплоснабжения поселка Победа МО "Рощинское городское поселение" Выборгского района Ленинградской области⁴</t>
  </si>
  <si>
    <t xml:space="preserve">Мероприятие по строительству, реконструкции электрических сетей уличного освещения
</t>
  </si>
  <si>
    <t>Строительство электрических сетей уличного освещения п.Победа, ул.Юности⁴</t>
  </si>
  <si>
    <t>9.2.</t>
  </si>
  <si>
    <t>9.1.</t>
  </si>
  <si>
    <t>Реконструкция электрических сетей уличного освещения п.Пушное, ул.Центральная, ул. Спортивная⁴</t>
  </si>
  <si>
    <t>9.3.</t>
  </si>
  <si>
    <t>Строительство электрических сетей уличного освещения п.Цвелодубово, ул.Зеленая⁴</t>
  </si>
  <si>
    <t>Положительное заключение ГАУ "Леноблгосэкспертиза" от 20.10.2020 №47-1-1-3-052465-2020</t>
  </si>
  <si>
    <t>99612,0  (в ценах 2020 г.)</t>
  </si>
  <si>
    <t>700 куб.м/сутки</t>
  </si>
  <si>
    <t xml:space="preserve">Положительное заключение ГАУ "Леноблгосэкспертиза"  от 11.10.2021 №47-1-1-3-059090-2021 </t>
  </si>
  <si>
    <t>139120,9 (в ценах 2021 г.)</t>
  </si>
  <si>
    <t>6,9 Мвт</t>
  </si>
  <si>
    <t>0,2 км</t>
  </si>
  <si>
    <t>735,5 (в ценах 2023 г.)</t>
  </si>
  <si>
    <t>Не требуется</t>
  </si>
  <si>
    <t>425,7 (в ценах 2023 г.)</t>
  </si>
  <si>
    <t>3 км</t>
  </si>
  <si>
    <t>505,8 (в ценах 2023 г.)</t>
  </si>
  <si>
    <t>240 кВт</t>
  </si>
  <si>
    <t>8091,6 тыс. руб.</t>
  </si>
  <si>
    <t>2740 кв.м</t>
  </si>
  <si>
    <t xml:space="preserve">Положительное заключение ГАУ "Леноблгосэкспертиза"  от 04.10.2022 №47-1-1-2-070736-2022 </t>
  </si>
  <si>
    <t>26970,2 (в ценах 2022 года)</t>
  </si>
  <si>
    <t>Положительное заключение ГАУ "Леноблгосэкспертиза"  от 2.10.2021 №47-1-1-2-062366-2021</t>
  </si>
  <si>
    <t>31783,4 (в ценах 2021 г.)</t>
  </si>
  <si>
    <t>5381 кв.м</t>
  </si>
  <si>
    <t>Положительное заключение ГАУ "Леноблгосэкспертиза"  от 17.10.2023 №№ 47-1-1-3-062427-2023</t>
  </si>
  <si>
    <t>415131,6 (в ценах 2023 года)</t>
  </si>
  <si>
    <t>Положительное заключение ГАУ "Леноблгосэкспертиза" от 10.10.2023 №№ 47-1-1-3-061005-2023</t>
  </si>
  <si>
    <t>52 пос. в смену</t>
  </si>
  <si>
    <t>406203,1 (в ценах 2023 года)</t>
  </si>
  <si>
    <t>Положительное заключение ГАУ "Леноблгосэкспертиза" № 47-1-1-3-015629-2023 30.03.2023</t>
  </si>
  <si>
    <t>437723,3 (в ценах 2022 г.)</t>
  </si>
  <si>
    <t>Положительное заключение ГАУ "Леноблгосэкспертиза"  № 47-1-7-0059-16 от 14.03.2016</t>
  </si>
  <si>
    <t>168296,5 (в ценах 2015 г.)</t>
  </si>
  <si>
    <r>
      <t>Мероприятие "Строительство, реконструкция, капитальный ремонт и ремонт автомобильных дорог, связывающих объекты сельскохозяйственного назначения между собой и/или с дорогами общего пользования"</t>
    </r>
    <r>
      <rPr>
        <sz val="10"/>
        <rFont val="Calibri"/>
        <family val="2"/>
        <charset val="204"/>
      </rPr>
      <t>₃</t>
    </r>
  </si>
  <si>
    <r>
      <t>Строительство дома культуры со зрительным залом на 150 мест и библиотекой по адресу:Ленинградская область Гатчинский муниципальный район, д.Пудомяги, ул.Речная, д. 8</t>
    </r>
    <r>
      <rPr>
        <sz val="10"/>
        <rFont val="Times New Roman"/>
        <family val="1"/>
        <charset val="204"/>
      </rPr>
      <t>⁴</t>
    </r>
  </si>
  <si>
    <r>
      <t>Реконструкция дома культуры в пос. Вознесенье Подпорожского района по адресу: Ленинградская область, Подпорожский район, Вознесенское городское поселение, п. Вознесенье, ул. Труда, д. 21</t>
    </r>
    <r>
      <rPr>
        <sz val="10"/>
        <rFont val="Times New Roman"/>
        <family val="1"/>
        <charset val="204"/>
      </rPr>
      <t>⁴</t>
    </r>
  </si>
  <si>
    <t>2024²</t>
  </si>
  <si>
    <t xml:space="preserve">в т.ч. ПИР </t>
  </si>
  <si>
    <t>2017-2024¹</t>
  </si>
  <si>
    <t>2020-2024                      (проектные работы)</t>
  </si>
  <si>
    <t>2015-2024¹</t>
  </si>
  <si>
    <t>4.10.</t>
  </si>
  <si>
    <t>Сельский дом культуры со зрительным залом на 150 мест, спортивным залом и библиотекой в с.Рождествено ул. Терещенко Гатчинского района</t>
  </si>
  <si>
    <t>2024-2025</t>
  </si>
  <si>
    <t xml:space="preserve">Положительное заключение ГАУ "Леноблгосэкспертиза" от 24.07.2023 № 47-1-1-3-042822-2023                                               </t>
  </si>
  <si>
    <t>329 554,52 в ц.2 кв.2022</t>
  </si>
  <si>
    <t>Рождественское сельское поселение Гатчинского муниципального района</t>
  </si>
  <si>
    <t>Строительство универсальной спортивной площадки в поселке Семиозерье по адресу: Ленинградская область, Выборгский район, пос. Семиозерье, ул. Центральная, уч. 64</t>
  </si>
  <si>
    <t>8.1.</t>
  </si>
  <si>
    <t>Положительное заключение ГАУ "Леноблгосэкспертиза" от 06.10.2023 №47-1-1-2-060211-2023</t>
  </si>
  <si>
    <t>32993,86 (в ценах 2023 года)</t>
  </si>
  <si>
    <t>Положительное заключение ГАУ "Леноблгосэкспертиза" от 06.10.2023 №47-1-1-2-059419-2023</t>
  </si>
  <si>
    <t>31013,26 (в ценах 2023 года)</t>
  </si>
  <si>
    <t>Положительное заключение ГАУ "Леноблгосэкспертиза" от 27.07.2023 №47-1-1-2-043873-2023</t>
  </si>
  <si>
    <t>29733,64 (в ценах 2023 года)</t>
  </si>
  <si>
    <r>
      <t>2017-2021</t>
    </r>
    <r>
      <rPr>
        <sz val="10"/>
        <rFont val="Calibri"/>
        <family val="2"/>
        <charset val="204"/>
      </rPr>
      <t>⁴</t>
    </r>
  </si>
  <si>
    <r>
      <t>54385</t>
    </r>
    <r>
      <rPr>
        <sz val="10"/>
        <rFont val="Calibri"/>
        <family val="2"/>
        <charset val="204"/>
      </rPr>
      <t>⁵</t>
    </r>
  </si>
  <si>
    <r>
      <t>2019</t>
    </r>
    <r>
      <rPr>
        <sz val="10"/>
        <rFont val="Calibri"/>
        <family val="2"/>
        <charset val="204"/>
      </rPr>
      <t>¹</t>
    </r>
  </si>
  <si>
    <r>
      <t>2018-2024</t>
    </r>
    <r>
      <rPr>
        <sz val="10"/>
        <rFont val="Calibri"/>
        <family val="2"/>
        <charset val="204"/>
      </rPr>
      <t xml:space="preserve">¹ </t>
    </r>
  </si>
  <si>
    <r>
      <t>2018-2024</t>
    </r>
    <r>
      <rPr>
        <sz val="10"/>
        <rFont val="Calibri"/>
        <family val="2"/>
        <charset val="204"/>
      </rPr>
      <t>¹</t>
    </r>
    <r>
      <rPr>
        <sz val="8"/>
        <rFont val="Times New Roman"/>
        <family val="1"/>
        <charset val="204"/>
      </rPr>
      <t xml:space="preserve"> </t>
    </r>
  </si>
  <si>
    <r>
      <t>2014-2021</t>
    </r>
    <r>
      <rPr>
        <sz val="10"/>
        <rFont val="Calibri"/>
        <family val="2"/>
        <charset val="204"/>
      </rPr>
      <t>⁴</t>
    </r>
    <r>
      <rPr>
        <sz val="10"/>
        <rFont val="Times New Roman"/>
        <family val="1"/>
        <charset val="204"/>
      </rPr>
      <t xml:space="preserve"> </t>
    </r>
  </si>
  <si>
    <r>
      <t>2015-2021</t>
    </r>
    <r>
      <rPr>
        <sz val="10"/>
        <rFont val="Calibri"/>
        <family val="2"/>
        <charset val="204"/>
      </rPr>
      <t>⁴</t>
    </r>
  </si>
  <si>
    <t>от 21.05.2024 №313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</si>
</sst>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00"/>
    <numFmt numFmtId="166" formatCode="#,##0.000"/>
    <numFmt numFmtId="167" formatCode="0.00000"/>
    <numFmt numFmtId="168" formatCode="#,##0.00000"/>
    <numFmt numFmtId="169" formatCode="0.000000"/>
    <numFmt numFmtId="170" formatCode="0.0000"/>
    <numFmt numFmtId="171" formatCode="0.0000000000"/>
  </numFmts>
  <fonts count="24" x14ac:knownFonts="1">
    <font>
      <sz val="11"/>
      <color theme="1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2"/>
      <charset val="204"/>
    </font>
    <font>
      <sz val="11"/>
      <name val="Times New Roman"/>
      <family val="2"/>
      <charset val="204"/>
    </font>
    <font>
      <sz val="10"/>
      <name val="Times New Roman"/>
      <family val="2"/>
      <charset val="204"/>
    </font>
    <font>
      <sz val="13"/>
      <name val="Times New Roman"/>
      <family val="2"/>
      <charset val="204"/>
    </font>
    <font>
      <sz val="12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B050"/>
      <name val="Times New Roman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2"/>
      <charset val="204"/>
      <scheme val="minor"/>
    </font>
    <font>
      <sz val="10"/>
      <name val="Times New Roman"/>
      <family val="1"/>
      <charset val="204"/>
      <scheme val="minor"/>
    </font>
    <font>
      <sz val="12"/>
      <name val="Calibri"/>
      <family val="2"/>
      <charset val="204"/>
    </font>
    <font>
      <sz val="14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1">
    <xf numFmtId="0" fontId="0" fillId="0" borderId="0" xfId="0"/>
    <xf numFmtId="1" fontId="0" fillId="0" borderId="0" xfId="0" applyNumberFormat="1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Fill="1"/>
    <xf numFmtId="2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0" fontId="0" fillId="0" borderId="2" xfId="0" applyBorder="1"/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/>
    <xf numFmtId="0" fontId="3" fillId="0" borderId="0" xfId="0" applyFont="1" applyFill="1" applyAlignment="1"/>
    <xf numFmtId="0" fontId="4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0" fontId="3" fillId="3" borderId="0" xfId="0" applyFont="1" applyFill="1"/>
    <xf numFmtId="0" fontId="3" fillId="3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1" fontId="3" fillId="3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/>
    <xf numFmtId="164" fontId="7" fillId="3" borderId="0" xfId="0" applyNumberFormat="1" applyFont="1" applyFill="1" applyBorder="1" applyAlignment="1">
      <alignment horizontal="center" vertical="top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3" borderId="0" xfId="0" applyFill="1"/>
    <xf numFmtId="164" fontId="0" fillId="3" borderId="0" xfId="0" applyNumberFormat="1" applyFill="1"/>
    <xf numFmtId="165" fontId="0" fillId="3" borderId="0" xfId="0" applyNumberFormat="1" applyFill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167" fontId="4" fillId="0" borderId="0" xfId="0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 vertical="top"/>
    </xf>
    <xf numFmtId="167" fontId="4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wrapText="1"/>
    </xf>
    <xf numFmtId="168" fontId="0" fillId="0" borderId="0" xfId="0" applyNumberFormat="1" applyBorder="1" applyAlignment="1">
      <alignment wrapText="1"/>
    </xf>
    <xf numFmtId="170" fontId="7" fillId="0" borderId="0" xfId="0" applyNumberFormat="1" applyFont="1" applyFill="1" applyBorder="1" applyAlignment="1">
      <alignment horizontal="center" vertical="top"/>
    </xf>
    <xf numFmtId="167" fontId="0" fillId="0" borderId="0" xfId="0" applyNumberFormat="1" applyFill="1" applyBorder="1" applyAlignment="1">
      <alignment wrapText="1"/>
    </xf>
    <xf numFmtId="167" fontId="3" fillId="3" borderId="0" xfId="0" applyNumberFormat="1" applyFont="1" applyFill="1"/>
    <xf numFmtId="0" fontId="7" fillId="0" borderId="8" xfId="0" applyFont="1" applyFill="1" applyBorder="1" applyAlignment="1">
      <alignment horizontal="center" vertical="top"/>
    </xf>
    <xf numFmtId="167" fontId="7" fillId="0" borderId="0" xfId="0" applyNumberFormat="1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1" fontId="10" fillId="3" borderId="0" xfId="0" applyNumberFormat="1" applyFont="1" applyFill="1" applyBorder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wrapText="1"/>
    </xf>
    <xf numFmtId="167" fontId="4" fillId="2" borderId="0" xfId="0" applyNumberFormat="1" applyFont="1" applyFill="1" applyAlignment="1">
      <alignment horizontal="center"/>
    </xf>
    <xf numFmtId="171" fontId="4" fillId="0" borderId="0" xfId="0" applyNumberFormat="1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wrapText="1"/>
    </xf>
    <xf numFmtId="0" fontId="17" fillId="3" borderId="0" xfId="0" applyFont="1" applyFill="1" applyBorder="1"/>
    <xf numFmtId="0" fontId="4" fillId="3" borderId="0" xfId="0" applyFont="1" applyFill="1" applyAlignment="1">
      <alignment horizontal="center" wrapText="1"/>
    </xf>
    <xf numFmtId="1" fontId="4" fillId="3" borderId="0" xfId="0" applyNumberFormat="1" applyFont="1" applyFill="1" applyAlignment="1">
      <alignment horizontal="center"/>
    </xf>
    <xf numFmtId="168" fontId="4" fillId="3" borderId="0" xfId="0" applyNumberFormat="1" applyFont="1" applyFill="1"/>
    <xf numFmtId="49" fontId="11" fillId="3" borderId="4" xfId="0" applyNumberFormat="1" applyFont="1" applyFill="1" applyBorder="1" applyAlignment="1">
      <alignment vertical="top" wrapText="1"/>
    </xf>
    <xf numFmtId="166" fontId="11" fillId="3" borderId="3" xfId="0" applyNumberFormat="1" applyFont="1" applyFill="1" applyBorder="1" applyAlignment="1">
      <alignment horizontal="center" vertical="top" wrapText="1"/>
    </xf>
    <xf numFmtId="2" fontId="11" fillId="3" borderId="3" xfId="0" applyNumberFormat="1" applyFont="1" applyFill="1" applyBorder="1" applyAlignment="1">
      <alignment horizontal="center" vertical="top" wrapText="1" shrinkToFit="1"/>
    </xf>
    <xf numFmtId="49" fontId="11" fillId="3" borderId="5" xfId="0" applyNumberFormat="1" applyFont="1" applyFill="1" applyBorder="1" applyAlignment="1">
      <alignment vertical="top" wrapText="1"/>
    </xf>
    <xf numFmtId="1" fontId="11" fillId="3" borderId="6" xfId="0" applyNumberFormat="1" applyFont="1" applyFill="1" applyBorder="1" applyAlignment="1">
      <alignment horizontal="center" vertical="top" wrapText="1"/>
    </xf>
    <xf numFmtId="168" fontId="11" fillId="3" borderId="3" xfId="0" applyNumberFormat="1" applyFont="1" applyFill="1" applyBorder="1" applyAlignment="1">
      <alignment horizontal="center" vertical="top" wrapText="1"/>
    </xf>
    <xf numFmtId="2" fontId="11" fillId="3" borderId="6" xfId="0" applyNumberFormat="1" applyFont="1" applyFill="1" applyBorder="1" applyAlignment="1">
      <alignment horizontal="center" vertical="top" wrapText="1" shrinkToFit="1"/>
    </xf>
    <xf numFmtId="166" fontId="19" fillId="3" borderId="4" xfId="0" applyNumberFormat="1" applyFont="1" applyFill="1" applyBorder="1" applyAlignment="1">
      <alignment horizontal="center" vertical="top" wrapText="1"/>
    </xf>
    <xf numFmtId="166" fontId="19" fillId="3" borderId="3" xfId="0" applyNumberFormat="1" applyFont="1" applyFill="1" applyBorder="1" applyAlignment="1">
      <alignment horizontal="center" vertical="top" wrapText="1"/>
    </xf>
    <xf numFmtId="4" fontId="11" fillId="3" borderId="3" xfId="0" applyNumberFormat="1" applyFont="1" applyFill="1" applyBorder="1" applyAlignment="1">
      <alignment horizontal="center" vertical="top" wrapText="1"/>
    </xf>
    <xf numFmtId="49" fontId="11" fillId="3" borderId="0" xfId="0" applyNumberFormat="1" applyFont="1" applyFill="1" applyBorder="1" applyAlignment="1">
      <alignment horizontal="center" vertical="top" wrapText="1"/>
    </xf>
    <xf numFmtId="166" fontId="11" fillId="3" borderId="4" xfId="0" applyNumberFormat="1" applyFont="1" applyFill="1" applyBorder="1" applyAlignment="1">
      <alignment horizontal="center" vertical="top" wrapText="1"/>
    </xf>
    <xf numFmtId="1" fontId="11" fillId="3" borderId="4" xfId="0" applyNumberFormat="1" applyFont="1" applyFill="1" applyBorder="1" applyAlignment="1">
      <alignment horizontal="center" vertical="top" wrapText="1"/>
    </xf>
    <xf numFmtId="170" fontId="11" fillId="3" borderId="3" xfId="0" applyNumberFormat="1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167" fontId="9" fillId="3" borderId="3" xfId="0" applyNumberFormat="1" applyFont="1" applyFill="1" applyBorder="1" applyAlignment="1">
      <alignment horizontal="center" vertical="top" wrapText="1"/>
    </xf>
    <xf numFmtId="167" fontId="9" fillId="3" borderId="11" xfId="0" applyNumberFormat="1" applyFont="1" applyFill="1" applyBorder="1" applyAlignment="1">
      <alignment horizontal="center" vertical="top" wrapText="1"/>
    </xf>
    <xf numFmtId="165" fontId="9" fillId="3" borderId="11" xfId="0" applyNumberFormat="1" applyFont="1" applyFill="1" applyBorder="1" applyAlignment="1">
      <alignment horizontal="center" vertical="top" wrapText="1"/>
    </xf>
    <xf numFmtId="167" fontId="11" fillId="3" borderId="11" xfId="0" applyNumberFormat="1" applyFont="1" applyFill="1" applyBorder="1" applyAlignment="1">
      <alignment horizontal="center" vertical="top" wrapText="1"/>
    </xf>
    <xf numFmtId="164" fontId="11" fillId="3" borderId="11" xfId="0" applyNumberFormat="1" applyFont="1" applyFill="1" applyBorder="1" applyAlignment="1">
      <alignment horizontal="center" vertical="top" wrapText="1"/>
    </xf>
    <xf numFmtId="2" fontId="11" fillId="3" borderId="11" xfId="0" applyNumberFormat="1" applyFont="1" applyFill="1" applyBorder="1" applyAlignment="1">
      <alignment horizontal="center" vertical="top" wrapText="1"/>
    </xf>
    <xf numFmtId="165" fontId="11" fillId="3" borderId="3" xfId="0" applyNumberFormat="1" applyFont="1" applyFill="1" applyBorder="1" applyAlignment="1">
      <alignment horizontal="center" vertical="top" wrapText="1"/>
    </xf>
    <xf numFmtId="14" fontId="11" fillId="3" borderId="3" xfId="0" applyNumberFormat="1" applyFont="1" applyFill="1" applyBorder="1" applyAlignment="1">
      <alignment horizontal="center" vertical="top" wrapText="1"/>
    </xf>
    <xf numFmtId="167" fontId="22" fillId="0" borderId="0" xfId="0" applyNumberFormat="1" applyFont="1" applyFill="1" applyBorder="1" applyAlignment="1">
      <alignment horizontal="center"/>
    </xf>
    <xf numFmtId="1" fontId="10" fillId="3" borderId="3" xfId="0" applyNumberFormat="1" applyFont="1" applyFill="1" applyBorder="1" applyAlignment="1">
      <alignment horizontal="center" vertical="top" wrapText="1"/>
    </xf>
    <xf numFmtId="167" fontId="10" fillId="3" borderId="3" xfId="0" applyNumberFormat="1" applyFont="1" applyFill="1" applyBorder="1" applyAlignment="1">
      <alignment horizontal="center" vertical="top" wrapText="1"/>
    </xf>
    <xf numFmtId="164" fontId="10" fillId="3" borderId="3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vertical="top" wrapText="1"/>
    </xf>
    <xf numFmtId="49" fontId="11" fillId="3" borderId="6" xfId="0" applyNumberFormat="1" applyFont="1" applyFill="1" applyBorder="1" applyAlignment="1">
      <alignment vertical="top" wrapText="1"/>
    </xf>
    <xf numFmtId="49" fontId="4" fillId="3" borderId="5" xfId="0" applyNumberFormat="1" applyFont="1" applyFill="1" applyBorder="1" applyAlignment="1">
      <alignment vertical="top" wrapText="1"/>
    </xf>
    <xf numFmtId="1" fontId="4" fillId="3" borderId="11" xfId="0" applyNumberFormat="1" applyFont="1" applyFill="1" applyBorder="1" applyAlignment="1">
      <alignment horizontal="center" vertical="top" wrapText="1"/>
    </xf>
    <xf numFmtId="167" fontId="4" fillId="3" borderId="3" xfId="0" applyNumberFormat="1" applyFont="1" applyFill="1" applyBorder="1" applyAlignment="1">
      <alignment horizontal="center" vertical="top" wrapText="1"/>
    </xf>
    <xf numFmtId="164" fontId="4" fillId="3" borderId="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vertical="top" wrapText="1"/>
    </xf>
    <xf numFmtId="49" fontId="4" fillId="3" borderId="6" xfId="0" applyNumberFormat="1" applyFont="1" applyFill="1" applyBorder="1" applyAlignment="1">
      <alignment vertical="top" wrapText="1"/>
    </xf>
    <xf numFmtId="1" fontId="4" fillId="3" borderId="6" xfId="0" applyNumberFormat="1" applyFont="1" applyFill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169" fontId="4" fillId="3" borderId="3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center" wrapText="1"/>
    </xf>
    <xf numFmtId="170" fontId="4" fillId="3" borderId="3" xfId="0" applyNumberFormat="1" applyFont="1" applyFill="1" applyBorder="1" applyAlignment="1">
      <alignment horizontal="center" vertical="top" wrapText="1"/>
    </xf>
    <xf numFmtId="1" fontId="4" fillId="3" borderId="4" xfId="0" applyNumberFormat="1" applyFont="1" applyFill="1" applyBorder="1" applyAlignment="1">
      <alignment horizontal="center" vertical="top" wrapText="1"/>
    </xf>
    <xf numFmtId="164" fontId="4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vertical="top" wrapText="1"/>
    </xf>
    <xf numFmtId="165" fontId="11" fillId="3" borderId="11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horizontal="center" vertical="center" wrapText="1"/>
    </xf>
    <xf numFmtId="164" fontId="15" fillId="3" borderId="3" xfId="0" applyNumberFormat="1" applyFont="1" applyFill="1" applyBorder="1" applyAlignment="1">
      <alignment horizontal="center" vertical="top" wrapText="1"/>
    </xf>
    <xf numFmtId="0" fontId="10" fillId="3" borderId="0" xfId="0" applyFont="1" applyFill="1"/>
    <xf numFmtId="0" fontId="10" fillId="3" borderId="3" xfId="0" applyFont="1" applyFill="1" applyBorder="1"/>
    <xf numFmtId="0" fontId="13" fillId="3" borderId="6" xfId="0" applyFont="1" applyFill="1" applyBorder="1" applyAlignment="1">
      <alignment horizontal="center" vertical="top" wrapText="1"/>
    </xf>
    <xf numFmtId="167" fontId="13" fillId="3" borderId="6" xfId="0" applyNumberFormat="1" applyFont="1" applyFill="1" applyBorder="1" applyAlignment="1">
      <alignment horizontal="center" vertical="top" wrapText="1"/>
    </xf>
    <xf numFmtId="167" fontId="13" fillId="3" borderId="3" xfId="0" applyNumberFormat="1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 wrapText="1"/>
    </xf>
    <xf numFmtId="170" fontId="13" fillId="3" borderId="3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horizontal="center" vertical="top" wrapText="1"/>
    </xf>
    <xf numFmtId="165" fontId="13" fillId="3" borderId="3" xfId="0" applyNumberFormat="1" applyFont="1" applyFill="1" applyBorder="1" applyAlignment="1">
      <alignment horizontal="center" vertical="top" wrapText="1"/>
    </xf>
    <xf numFmtId="49" fontId="10" fillId="3" borderId="0" xfId="0" applyNumberFormat="1" applyFont="1" applyFill="1" applyBorder="1" applyAlignment="1">
      <alignment horizontal="center" vertical="top" wrapText="1"/>
    </xf>
    <xf numFmtId="1" fontId="10" fillId="3" borderId="0" xfId="0" applyNumberFormat="1" applyFont="1" applyFill="1" applyBorder="1" applyAlignment="1">
      <alignment horizontal="center" vertical="top" wrapText="1"/>
    </xf>
    <xf numFmtId="165" fontId="10" fillId="3" borderId="0" xfId="0" applyNumberFormat="1" applyFont="1" applyFill="1" applyBorder="1" applyAlignment="1">
      <alignment horizontal="center" vertical="top" wrapText="1"/>
    </xf>
    <xf numFmtId="1" fontId="10" fillId="3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18" fillId="3" borderId="0" xfId="0" applyFont="1" applyFill="1"/>
    <xf numFmtId="14" fontId="11" fillId="3" borderId="3" xfId="0" quotePrefix="1" applyNumberFormat="1" applyFont="1" applyFill="1" applyBorder="1" applyAlignment="1">
      <alignment horizontal="center" vertical="top" wrapText="1"/>
    </xf>
    <xf numFmtId="49" fontId="4" fillId="3" borderId="3" xfId="0" quotePrefix="1" applyNumberFormat="1" applyFont="1" applyFill="1" applyBorder="1" applyAlignment="1">
      <alignment horizontal="center" vertical="top" wrapText="1"/>
    </xf>
    <xf numFmtId="14" fontId="11" fillId="3" borderId="6" xfId="0" quotePrefix="1" applyNumberFormat="1" applyFont="1" applyFill="1" applyBorder="1" applyAlignment="1">
      <alignment horizontal="center" vertical="top" wrapText="1"/>
    </xf>
    <xf numFmtId="49" fontId="11" fillId="3" borderId="4" xfId="0" quotePrefix="1" applyNumberFormat="1" applyFont="1" applyFill="1" applyBorder="1" applyAlignment="1">
      <alignment horizontal="center" vertical="top" wrapText="1"/>
    </xf>
    <xf numFmtId="49" fontId="11" fillId="3" borderId="3" xfId="0" quotePrefix="1" applyNumberFormat="1" applyFont="1" applyFill="1" applyBorder="1" applyAlignment="1">
      <alignment horizontal="center" vertical="top" wrapText="1"/>
    </xf>
    <xf numFmtId="170" fontId="11" fillId="3" borderId="6" xfId="0" applyNumberFormat="1" applyFont="1" applyFill="1" applyBorder="1" applyAlignment="1">
      <alignment horizontal="center" vertical="top" wrapText="1"/>
    </xf>
    <xf numFmtId="167" fontId="7" fillId="0" borderId="0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/>
    </xf>
    <xf numFmtId="167" fontId="11" fillId="3" borderId="4" xfId="0" applyNumberFormat="1" applyFont="1" applyFill="1" applyBorder="1" applyAlignment="1">
      <alignment horizontal="center" vertical="top" wrapText="1"/>
    </xf>
    <xf numFmtId="167" fontId="11" fillId="3" borderId="5" xfId="0" applyNumberFormat="1" applyFont="1" applyFill="1" applyBorder="1" applyAlignment="1">
      <alignment horizontal="center" vertical="top" wrapText="1"/>
    </xf>
    <xf numFmtId="2" fontId="11" fillId="3" borderId="3" xfId="0" applyNumberFormat="1" applyFont="1" applyFill="1" applyBorder="1" applyAlignment="1">
      <alignment horizontal="center" vertical="top" wrapText="1"/>
    </xf>
    <xf numFmtId="167" fontId="11" fillId="3" borderId="3" xfId="0" applyNumberFormat="1" applyFont="1" applyFill="1" applyBorder="1" applyAlignment="1">
      <alignment horizontal="center" vertical="top" wrapText="1"/>
    </xf>
    <xf numFmtId="164" fontId="11" fillId="3" borderId="4" xfId="0" applyNumberFormat="1" applyFont="1" applyFill="1" applyBorder="1" applyAlignment="1">
      <alignment horizontal="center" vertical="top" wrapText="1"/>
    </xf>
    <xf numFmtId="164" fontId="11" fillId="3" borderId="6" xfId="0" applyNumberFormat="1" applyFont="1" applyFill="1" applyBorder="1" applyAlignment="1">
      <alignment horizontal="center" vertical="top" wrapText="1"/>
    </xf>
    <xf numFmtId="49" fontId="11" fillId="3" borderId="4" xfId="0" applyNumberFormat="1" applyFont="1" applyFill="1" applyBorder="1" applyAlignment="1">
      <alignment horizontal="center" vertical="top" wrapText="1"/>
    </xf>
    <xf numFmtId="49" fontId="11" fillId="3" borderId="6" xfId="0" applyNumberFormat="1" applyFont="1" applyFill="1" applyBorder="1" applyAlignment="1">
      <alignment horizontal="center" vertical="top" wrapText="1"/>
    </xf>
    <xf numFmtId="49" fontId="13" fillId="3" borderId="6" xfId="0" applyNumberFormat="1" applyFont="1" applyFill="1" applyBorder="1" applyAlignment="1">
      <alignment horizontal="center" vertical="top" wrapText="1"/>
    </xf>
    <xf numFmtId="49" fontId="13" fillId="3" borderId="12" xfId="0" applyNumberFormat="1" applyFont="1" applyFill="1" applyBorder="1" applyAlignment="1">
      <alignment horizontal="center" vertical="top" wrapText="1"/>
    </xf>
    <xf numFmtId="49" fontId="13" fillId="3" borderId="2" xfId="0" applyNumberFormat="1" applyFont="1" applyFill="1" applyBorder="1" applyAlignment="1">
      <alignment horizontal="center" vertical="top" wrapText="1"/>
    </xf>
    <xf numFmtId="49" fontId="13" fillId="3" borderId="1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49" fontId="4" fillId="3" borderId="6" xfId="0" applyNumberFormat="1" applyFont="1" applyFill="1" applyBorder="1" applyAlignment="1">
      <alignment horizontal="center" vertical="top" wrapText="1"/>
    </xf>
    <xf numFmtId="167" fontId="4" fillId="3" borderId="4" xfId="0" applyNumberFormat="1" applyFont="1" applyFill="1" applyBorder="1" applyAlignment="1">
      <alignment horizontal="center" vertical="top" wrapText="1"/>
    </xf>
    <xf numFmtId="167" fontId="4" fillId="3" borderId="6" xfId="0" applyNumberFormat="1" applyFont="1" applyFill="1" applyBorder="1" applyAlignment="1">
      <alignment horizontal="center" vertical="top" wrapText="1"/>
    </xf>
    <xf numFmtId="1" fontId="11" fillId="3" borderId="3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horizontal="center" vertical="top" wrapText="1"/>
    </xf>
    <xf numFmtId="49" fontId="11" fillId="3" borderId="5" xfId="0" applyNumberFormat="1" applyFont="1" applyFill="1" applyBorder="1" applyAlignment="1">
      <alignment horizontal="center" vertical="top" wrapText="1"/>
    </xf>
    <xf numFmtId="164" fontId="11" fillId="3" borderId="3" xfId="0" applyNumberFormat="1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>
      <alignment horizontal="center" vertical="top" wrapText="1"/>
    </xf>
    <xf numFmtId="2" fontId="11" fillId="3" borderId="6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right" vertical="top"/>
    </xf>
    <xf numFmtId="0" fontId="11" fillId="3" borderId="15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1" fillId="3" borderId="14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top" wrapText="1"/>
    </xf>
    <xf numFmtId="14" fontId="11" fillId="3" borderId="6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164" fontId="11" fillId="3" borderId="2" xfId="0" applyNumberFormat="1" applyFont="1" applyFill="1" applyBorder="1" applyAlignment="1">
      <alignment horizontal="center" vertical="top" wrapText="1"/>
    </xf>
    <xf numFmtId="164" fontId="11" fillId="3" borderId="14" xfId="0" applyNumberFormat="1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167" fontId="11" fillId="3" borderId="4" xfId="0" applyNumberFormat="1" applyFont="1" applyFill="1" applyBorder="1" applyAlignment="1">
      <alignment horizontal="center" vertical="top" wrapText="1"/>
    </xf>
    <xf numFmtId="167" fontId="11" fillId="3" borderId="5" xfId="0" applyNumberFormat="1" applyFont="1" applyFill="1" applyBorder="1" applyAlignment="1">
      <alignment horizontal="center" vertical="top" wrapText="1"/>
    </xf>
    <xf numFmtId="167" fontId="11" fillId="3" borderId="6" xfId="0" applyNumberFormat="1" applyFont="1" applyFill="1" applyBorder="1" applyAlignment="1">
      <alignment horizontal="center" vertical="top" wrapText="1"/>
    </xf>
    <xf numFmtId="165" fontId="11" fillId="3" borderId="4" xfId="0" applyNumberFormat="1" applyFont="1" applyFill="1" applyBorder="1" applyAlignment="1">
      <alignment horizontal="center" vertical="top" wrapText="1"/>
    </xf>
    <xf numFmtId="165" fontId="11" fillId="3" borderId="6" xfId="0" applyNumberFormat="1" applyFont="1" applyFill="1" applyBorder="1" applyAlignment="1">
      <alignment horizontal="center" vertical="top" wrapText="1"/>
    </xf>
    <xf numFmtId="49" fontId="11" fillId="3" borderId="4" xfId="0" applyNumberFormat="1" applyFont="1" applyFill="1" applyBorder="1" applyAlignment="1">
      <alignment horizontal="center" vertical="top" wrapText="1"/>
    </xf>
    <xf numFmtId="49" fontId="11" fillId="3" borderId="6" xfId="0" applyNumberFormat="1" applyFont="1" applyFill="1" applyBorder="1" applyAlignment="1">
      <alignment horizontal="center" vertical="top" wrapText="1"/>
    </xf>
    <xf numFmtId="49" fontId="10" fillId="3" borderId="9" xfId="0" applyNumberFormat="1" applyFont="1" applyFill="1" applyBorder="1" applyAlignment="1">
      <alignment horizontal="center" vertical="top" wrapText="1"/>
    </xf>
    <xf numFmtId="49" fontId="10" fillId="3" borderId="15" xfId="0" applyNumberFormat="1" applyFont="1" applyFill="1" applyBorder="1" applyAlignment="1">
      <alignment horizontal="center" vertical="top" wrapText="1"/>
    </xf>
    <xf numFmtId="49" fontId="10" fillId="3" borderId="11" xfId="0" applyNumberFormat="1" applyFont="1" applyFill="1" applyBorder="1" applyAlignment="1">
      <alignment horizontal="center" vertical="top" wrapText="1"/>
    </xf>
    <xf numFmtId="49" fontId="11" fillId="3" borderId="5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49" fontId="4" fillId="3" borderId="6" xfId="0" applyNumberFormat="1" applyFont="1" applyFill="1" applyBorder="1" applyAlignment="1">
      <alignment horizontal="center" vertical="top" wrapText="1"/>
    </xf>
    <xf numFmtId="2" fontId="11" fillId="3" borderId="5" xfId="0" applyNumberFormat="1" applyFont="1" applyFill="1" applyBorder="1" applyAlignment="1">
      <alignment horizontal="center" vertical="top" wrapText="1"/>
    </xf>
    <xf numFmtId="2" fontId="11" fillId="3" borderId="6" xfId="0" applyNumberFormat="1" applyFont="1" applyFill="1" applyBorder="1" applyAlignment="1">
      <alignment horizontal="center" vertical="top" wrapText="1"/>
    </xf>
    <xf numFmtId="14" fontId="11" fillId="3" borderId="4" xfId="0" applyNumberFormat="1" applyFont="1" applyFill="1" applyBorder="1" applyAlignment="1">
      <alignment horizontal="center" vertical="top" wrapText="1"/>
    </xf>
    <xf numFmtId="14" fontId="11" fillId="3" borderId="6" xfId="0" applyNumberFormat="1" applyFont="1" applyFill="1" applyBorder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164" fontId="11" fillId="3" borderId="4" xfId="0" applyNumberFormat="1" applyFont="1" applyFill="1" applyBorder="1" applyAlignment="1">
      <alignment horizontal="center" vertical="top" wrapText="1"/>
    </xf>
    <xf numFmtId="164" fontId="11" fillId="3" borderId="6" xfId="0" applyNumberFormat="1" applyFont="1" applyFill="1" applyBorder="1" applyAlignment="1">
      <alignment horizontal="center" vertical="top" wrapText="1"/>
    </xf>
    <xf numFmtId="164" fontId="11" fillId="3" borderId="3" xfId="0" applyNumberFormat="1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/>
    </xf>
    <xf numFmtId="49" fontId="10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49" fontId="11" fillId="3" borderId="7" xfId="0" applyNumberFormat="1" applyFont="1" applyFill="1" applyBorder="1" applyAlignment="1">
      <alignment horizontal="center" vertical="top" wrapText="1"/>
    </xf>
    <xf numFmtId="49" fontId="11" fillId="3" borderId="8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1" fillId="3" borderId="6" xfId="0" applyFont="1" applyFill="1" applyBorder="1" applyAlignment="1">
      <alignment horizontal="center" vertical="top"/>
    </xf>
    <xf numFmtId="0" fontId="11" fillId="3" borderId="13" xfId="0" applyFont="1" applyFill="1" applyBorder="1" applyAlignment="1">
      <alignment horizontal="center" vertical="top" wrapText="1"/>
    </xf>
    <xf numFmtId="0" fontId="11" fillId="3" borderId="14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67" fontId="11" fillId="3" borderId="3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right" vertical="top"/>
    </xf>
    <xf numFmtId="1" fontId="11" fillId="3" borderId="3" xfId="0" applyNumberFormat="1" applyFont="1" applyFill="1" applyBorder="1" applyAlignment="1">
      <alignment horizontal="center" vertical="top" wrapText="1"/>
    </xf>
    <xf numFmtId="2" fontId="11" fillId="3" borderId="3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top"/>
    </xf>
    <xf numFmtId="0" fontId="13" fillId="3" borderId="2" xfId="0" applyFont="1" applyFill="1" applyBorder="1" applyAlignment="1">
      <alignment horizontal="center" vertical="top"/>
    </xf>
    <xf numFmtId="164" fontId="11" fillId="3" borderId="5" xfId="0" applyNumberFormat="1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10" fillId="3" borderId="5" xfId="0" applyFont="1" applyFill="1" applyBorder="1" applyAlignment="1">
      <alignment horizontal="center" vertical="top" wrapText="1"/>
    </xf>
    <xf numFmtId="49" fontId="13" fillId="3" borderId="3" xfId="0" applyNumberFormat="1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49" fontId="13" fillId="3" borderId="4" xfId="0" applyNumberFormat="1" applyFont="1" applyFill="1" applyBorder="1" applyAlignment="1">
      <alignment horizontal="center" vertical="top" wrapText="1"/>
    </xf>
    <xf numFmtId="49" fontId="13" fillId="3" borderId="5" xfId="0" applyNumberFormat="1" applyFont="1" applyFill="1" applyBorder="1" applyAlignment="1">
      <alignment horizontal="center" vertical="top" wrapText="1"/>
    </xf>
    <xf numFmtId="49" fontId="13" fillId="3" borderId="6" xfId="0" applyNumberFormat="1" applyFont="1" applyFill="1" applyBorder="1" applyAlignment="1">
      <alignment horizontal="center" vertical="top" wrapText="1"/>
    </xf>
    <xf numFmtId="167" fontId="11" fillId="3" borderId="13" xfId="0" applyNumberFormat="1" applyFont="1" applyFill="1" applyBorder="1" applyAlignment="1">
      <alignment horizontal="center" vertical="top" wrapText="1"/>
    </xf>
    <xf numFmtId="167" fontId="11" fillId="3" borderId="10" xfId="0" applyNumberFormat="1" applyFont="1" applyFill="1" applyBorder="1" applyAlignment="1">
      <alignment horizontal="center" vertical="top" wrapText="1"/>
    </xf>
    <xf numFmtId="167" fontId="11" fillId="3" borderId="14" xfId="0" applyNumberFormat="1" applyFont="1" applyFill="1" applyBorder="1" applyAlignment="1">
      <alignment horizontal="center" vertical="top" wrapText="1"/>
    </xf>
    <xf numFmtId="49" fontId="13" fillId="3" borderId="7" xfId="0" applyNumberFormat="1" applyFont="1" applyFill="1" applyBorder="1" applyAlignment="1">
      <alignment horizontal="center" vertical="top" wrapText="1"/>
    </xf>
    <xf numFmtId="49" fontId="13" fillId="3" borderId="1" xfId="0" applyNumberFormat="1" applyFont="1" applyFill="1" applyBorder="1" applyAlignment="1">
      <alignment horizontal="center" vertical="top" wrapText="1"/>
    </xf>
    <xf numFmtId="49" fontId="13" fillId="3" borderId="13" xfId="0" applyNumberFormat="1" applyFont="1" applyFill="1" applyBorder="1" applyAlignment="1">
      <alignment horizontal="center" vertical="top" wrapText="1"/>
    </xf>
    <xf numFmtId="49" fontId="13" fillId="3" borderId="8" xfId="0" applyNumberFormat="1" applyFont="1" applyFill="1" applyBorder="1" applyAlignment="1">
      <alignment horizontal="center" vertical="top" wrapText="1"/>
    </xf>
    <xf numFmtId="49" fontId="13" fillId="3" borderId="0" xfId="0" applyNumberFormat="1" applyFont="1" applyFill="1" applyBorder="1" applyAlignment="1">
      <alignment horizontal="center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3" fillId="3" borderId="12" xfId="0" applyNumberFormat="1" applyFont="1" applyFill="1" applyBorder="1" applyAlignment="1">
      <alignment horizontal="center" vertical="top" wrapText="1"/>
    </xf>
    <xf numFmtId="49" fontId="13" fillId="3" borderId="2" xfId="0" applyNumberFormat="1" applyFont="1" applyFill="1" applyBorder="1" applyAlignment="1">
      <alignment horizontal="center" vertical="top" wrapText="1"/>
    </xf>
    <xf numFmtId="49" fontId="13" fillId="3" borderId="14" xfId="0" applyNumberFormat="1" applyFont="1" applyFill="1" applyBorder="1" applyAlignment="1">
      <alignment horizontal="center" vertical="top" wrapText="1"/>
    </xf>
    <xf numFmtId="49" fontId="11" fillId="3" borderId="9" xfId="0" applyNumberFormat="1" applyFont="1" applyFill="1" applyBorder="1" applyAlignment="1">
      <alignment horizontal="center" vertical="top" wrapText="1"/>
    </xf>
    <xf numFmtId="49" fontId="11" fillId="3" borderId="15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49" fontId="11" fillId="3" borderId="13" xfId="0" applyNumberFormat="1" applyFont="1" applyFill="1" applyBorder="1" applyAlignment="1">
      <alignment horizontal="center" vertical="top" wrapText="1"/>
    </xf>
    <xf numFmtId="167" fontId="4" fillId="3" borderId="4" xfId="0" applyNumberFormat="1" applyFont="1" applyFill="1" applyBorder="1" applyAlignment="1">
      <alignment horizontal="center" vertical="top" wrapText="1"/>
    </xf>
    <xf numFmtId="167" fontId="4" fillId="3" borderId="6" xfId="0" applyNumberFormat="1" applyFont="1" applyFill="1" applyBorder="1" applyAlignment="1">
      <alignment horizontal="center" vertical="top" wrapText="1"/>
    </xf>
    <xf numFmtId="49" fontId="10" fillId="3" borderId="4" xfId="0" applyNumberFormat="1" applyFont="1" applyFill="1" applyBorder="1" applyAlignment="1">
      <alignment horizontal="center" vertical="top" wrapText="1"/>
    </xf>
    <xf numFmtId="49" fontId="10" fillId="3" borderId="5" xfId="0" applyNumberFormat="1" applyFont="1" applyFill="1" applyBorder="1" applyAlignment="1">
      <alignment horizontal="center" vertical="top" wrapText="1"/>
    </xf>
    <xf numFmtId="49" fontId="10" fillId="3" borderId="6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vertical="top" wrapText="1"/>
    </xf>
    <xf numFmtId="1" fontId="11" fillId="3" borderId="11" xfId="0" applyNumberFormat="1" applyFont="1" applyFill="1" applyBorder="1" applyAlignment="1">
      <alignment horizontal="center" vertical="top" wrapText="1"/>
    </xf>
    <xf numFmtId="167" fontId="4" fillId="3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77F6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2"/>
  <sheetViews>
    <sheetView tabSelected="1" view="pageBreakPreview" zoomScale="85" zoomScaleNormal="90" zoomScaleSheetLayoutView="85" zoomScalePageLayoutView="90" workbookViewId="0">
      <selection activeCell="O31" sqref="O31"/>
    </sheetView>
  </sheetViews>
  <sheetFormatPr defaultColWidth="8.84375" defaultRowHeight="14.15" outlineLevelCol="1" x14ac:dyDescent="0.35"/>
  <cols>
    <col min="1" max="1" width="6.53515625" style="35" customWidth="1"/>
    <col min="2" max="2" width="49.69140625" style="35" customWidth="1"/>
    <col min="3" max="3" width="14" style="35" customWidth="1"/>
    <col min="4" max="4" width="15.3828125" style="35" customWidth="1"/>
    <col min="5" max="5" width="20.84375" style="36" customWidth="1"/>
    <col min="6" max="6" width="16.3828125" style="36" customWidth="1"/>
    <col min="7" max="7" width="16.3828125" style="36" hidden="1" customWidth="1"/>
    <col min="8" max="9" width="24.3828125" style="36" customWidth="1"/>
    <col min="10" max="10" width="15.3046875" style="39" customWidth="1"/>
    <col min="11" max="11" width="15.69140625" style="35" customWidth="1"/>
    <col min="12" max="12" width="18.53515625" style="35" customWidth="1"/>
    <col min="13" max="13" width="19" style="35" customWidth="1"/>
    <col min="14" max="14" width="14.3828125" style="35" customWidth="1"/>
    <col min="15" max="15" width="14.84375" style="35" bestFit="1" customWidth="1"/>
    <col min="16" max="16" width="11.84375" style="35" hidden="1" customWidth="1" outlineLevel="1"/>
    <col min="17" max="17" width="18.84375" style="68" customWidth="1" collapsed="1"/>
    <col min="18" max="18" width="24.69140625" style="5" customWidth="1"/>
    <col min="19" max="19" width="12.53515625" style="16" customWidth="1"/>
    <col min="20" max="20" width="15.3828125" customWidth="1"/>
    <col min="21" max="21" width="13.69140625" customWidth="1"/>
    <col min="22" max="22" width="11" customWidth="1"/>
    <col min="23" max="23" width="10" customWidth="1"/>
    <col min="24" max="24" width="7.3828125" customWidth="1"/>
    <col min="25" max="26" width="9.3828125" bestFit="1" customWidth="1"/>
  </cols>
  <sheetData>
    <row r="1" spans="1:20" ht="15" customHeight="1" x14ac:dyDescent="0.35">
      <c r="A1" s="63"/>
      <c r="B1" s="63"/>
      <c r="C1" s="63"/>
      <c r="D1" s="63"/>
      <c r="E1" s="64"/>
      <c r="F1" s="64"/>
      <c r="G1" s="64"/>
      <c r="H1" s="64"/>
      <c r="I1" s="64"/>
      <c r="J1" s="67"/>
      <c r="K1" s="65"/>
      <c r="L1" s="260" t="s">
        <v>28</v>
      </c>
      <c r="M1" s="260"/>
      <c r="N1" s="260"/>
      <c r="O1" s="260"/>
      <c r="P1" s="260"/>
      <c r="Q1" s="261"/>
      <c r="R1" s="68"/>
      <c r="S1" s="69"/>
      <c r="T1" s="47"/>
    </row>
    <row r="2" spans="1:20" ht="15" customHeight="1" x14ac:dyDescent="0.35">
      <c r="A2" s="63"/>
      <c r="B2" s="63"/>
      <c r="C2" s="63"/>
      <c r="D2" s="63"/>
      <c r="E2" s="64"/>
      <c r="F2" s="64"/>
      <c r="G2" s="64"/>
      <c r="H2" s="64"/>
      <c r="I2" s="64"/>
      <c r="J2" s="260" t="s">
        <v>30</v>
      </c>
      <c r="K2" s="262"/>
      <c r="L2" s="262"/>
      <c r="M2" s="262"/>
      <c r="N2" s="262"/>
      <c r="O2" s="262"/>
      <c r="P2" s="262"/>
      <c r="Q2" s="261"/>
    </row>
    <row r="3" spans="1:20" ht="15" customHeight="1" x14ac:dyDescent="0.35">
      <c r="A3" s="63"/>
      <c r="B3" s="63"/>
      <c r="C3" s="63"/>
      <c r="D3" s="63"/>
      <c r="E3" s="64"/>
      <c r="F3" s="64"/>
      <c r="G3" s="64"/>
      <c r="H3" s="64"/>
      <c r="I3" s="64"/>
      <c r="J3" s="65"/>
      <c r="K3" s="66"/>
      <c r="L3" s="262" t="s">
        <v>29</v>
      </c>
      <c r="M3" s="262"/>
      <c r="N3" s="262"/>
      <c r="O3" s="262"/>
      <c r="P3" s="262"/>
      <c r="Q3" s="261"/>
    </row>
    <row r="4" spans="1:20" ht="17.25" customHeight="1" x14ac:dyDescent="0.35">
      <c r="A4" s="63"/>
      <c r="B4" s="63"/>
      <c r="C4" s="63"/>
      <c r="D4" s="63"/>
      <c r="E4" s="64"/>
      <c r="F4" s="64"/>
      <c r="G4" s="64"/>
      <c r="H4" s="64"/>
      <c r="I4" s="64"/>
      <c r="J4" s="65"/>
      <c r="K4" s="66"/>
      <c r="L4" s="262" t="s">
        <v>117</v>
      </c>
      <c r="M4" s="262"/>
      <c r="N4" s="262"/>
      <c r="O4" s="262"/>
      <c r="P4" s="262"/>
      <c r="Q4" s="261"/>
    </row>
    <row r="5" spans="1:20" ht="17.25" customHeight="1" x14ac:dyDescent="0.35">
      <c r="A5" s="63"/>
      <c r="B5" s="63"/>
      <c r="C5" s="63"/>
      <c r="D5" s="63"/>
      <c r="E5" s="64"/>
      <c r="F5" s="64"/>
      <c r="G5" s="64"/>
      <c r="H5" s="64"/>
      <c r="I5" s="64"/>
      <c r="J5" s="65"/>
      <c r="K5" s="66"/>
      <c r="L5" s="178"/>
      <c r="M5" s="178"/>
      <c r="N5" s="178"/>
      <c r="O5" s="178"/>
      <c r="P5" s="178"/>
      <c r="Q5" s="177"/>
    </row>
    <row r="6" spans="1:20" ht="17.25" customHeight="1" x14ac:dyDescent="0.35">
      <c r="A6" s="63"/>
      <c r="B6" s="63"/>
      <c r="C6" s="63"/>
      <c r="D6" s="63"/>
      <c r="E6" s="64"/>
      <c r="F6" s="64"/>
      <c r="G6" s="64"/>
      <c r="H6" s="64"/>
      <c r="I6" s="64"/>
      <c r="J6" s="65"/>
      <c r="K6" s="66"/>
      <c r="L6" s="178"/>
      <c r="M6" s="178"/>
      <c r="N6" s="178"/>
      <c r="O6" s="262" t="s">
        <v>298</v>
      </c>
      <c r="P6" s="262"/>
      <c r="Q6" s="262"/>
    </row>
    <row r="7" spans="1:20" ht="17.25" customHeight="1" x14ac:dyDescent="0.35">
      <c r="A7" s="63"/>
      <c r="B7" s="63"/>
      <c r="C7" s="63"/>
      <c r="D7" s="63"/>
      <c r="E7" s="64"/>
      <c r="F7" s="64"/>
      <c r="G7" s="64"/>
      <c r="H7" s="64"/>
      <c r="I7" s="64"/>
      <c r="J7" s="65"/>
      <c r="K7" s="66"/>
      <c r="L7" s="178"/>
      <c r="M7" s="178"/>
      <c r="N7" s="262" t="s">
        <v>217</v>
      </c>
      <c r="O7" s="262"/>
      <c r="P7" s="262"/>
      <c r="Q7" s="262"/>
    </row>
    <row r="8" spans="1:20" ht="17.25" customHeight="1" x14ac:dyDescent="0.35">
      <c r="A8" s="63"/>
      <c r="B8" s="63"/>
      <c r="C8" s="63"/>
      <c r="D8" s="63"/>
      <c r="E8" s="64"/>
      <c r="F8" s="64"/>
      <c r="G8" s="64"/>
      <c r="H8" s="64"/>
      <c r="I8" s="64"/>
      <c r="J8" s="65"/>
      <c r="K8" s="66"/>
      <c r="L8" s="178"/>
      <c r="M8" s="178"/>
      <c r="N8" s="262" t="s">
        <v>490</v>
      </c>
      <c r="O8" s="262"/>
      <c r="P8" s="262"/>
      <c r="Q8" s="262"/>
    </row>
    <row r="9" spans="1:20" ht="17.25" customHeight="1" x14ac:dyDescent="0.35">
      <c r="A9" s="63"/>
      <c r="B9" s="63"/>
      <c r="C9" s="63"/>
      <c r="D9" s="63"/>
      <c r="E9" s="64"/>
      <c r="F9" s="64"/>
      <c r="G9" s="64"/>
      <c r="H9" s="64"/>
      <c r="I9" s="64"/>
      <c r="J9" s="65"/>
      <c r="K9" s="66"/>
      <c r="L9" s="178"/>
      <c r="M9" s="178"/>
      <c r="N9" s="178"/>
      <c r="O9" s="178"/>
      <c r="P9" s="178"/>
      <c r="Q9" s="178" t="s">
        <v>112</v>
      </c>
    </row>
    <row r="10" spans="1:20" x14ac:dyDescent="0.35">
      <c r="A10" s="265" t="s">
        <v>14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4"/>
    </row>
    <row r="11" spans="1:20" hidden="1" x14ac:dyDescent="0.35">
      <c r="A11" s="265" t="s">
        <v>73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14"/>
    </row>
    <row r="12" spans="1:20" hidden="1" x14ac:dyDescent="0.35">
      <c r="A12" s="265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14"/>
    </row>
    <row r="13" spans="1:20" hidden="1" x14ac:dyDescent="0.35">
      <c r="A13" s="265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3"/>
    </row>
    <row r="14" spans="1:20" hidden="1" x14ac:dyDescent="0.35">
      <c r="A14" s="265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4"/>
    </row>
    <row r="15" spans="1:20" ht="16.3" hidden="1" x14ac:dyDescent="0.4">
      <c r="A15" s="265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13"/>
    </row>
    <row r="16" spans="1:20" s="4" customFormat="1" ht="16.3" hidden="1" x14ac:dyDescent="0.4">
      <c r="A16" s="265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5"/>
      <c r="S16" s="17"/>
    </row>
    <row r="17" spans="1:26" s="4" customFormat="1" ht="0.75" customHeight="1" x14ac:dyDescent="0.4">
      <c r="A17" s="265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2"/>
      <c r="S17" s="17"/>
    </row>
    <row r="18" spans="1:26" s="6" customFormat="1" ht="15" hidden="1" customHeight="1" x14ac:dyDescent="0.35">
      <c r="A18" s="265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14"/>
      <c r="S18" s="16"/>
    </row>
    <row r="19" spans="1:26" s="4" customFormat="1" ht="15" hidden="1" customHeight="1" x14ac:dyDescent="0.35">
      <c r="A19" s="265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4"/>
      <c r="S19" s="17"/>
    </row>
    <row r="20" spans="1:26" s="4" customFormat="1" ht="15" customHeight="1" x14ac:dyDescent="0.35">
      <c r="A20" s="265"/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4"/>
      <c r="S20" s="17"/>
    </row>
    <row r="21" spans="1:26" s="4" customFormat="1" x14ac:dyDescent="0.35">
      <c r="A21" s="266"/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4"/>
      <c r="S21" s="17"/>
    </row>
    <row r="22" spans="1:26" ht="15" customHeight="1" x14ac:dyDescent="0.35">
      <c r="A22" s="220" t="s">
        <v>396</v>
      </c>
      <c r="B22" s="220" t="s">
        <v>159</v>
      </c>
      <c r="C22" s="191" t="s">
        <v>160</v>
      </c>
      <c r="D22" s="191" t="s">
        <v>161</v>
      </c>
      <c r="E22" s="191" t="s">
        <v>162</v>
      </c>
      <c r="F22" s="220" t="s">
        <v>163</v>
      </c>
      <c r="G22" s="239" t="s">
        <v>25</v>
      </c>
      <c r="H22" s="191" t="s">
        <v>26</v>
      </c>
      <c r="I22" s="191" t="s">
        <v>164</v>
      </c>
      <c r="J22" s="236" t="s">
        <v>12</v>
      </c>
      <c r="K22" s="220" t="s">
        <v>165</v>
      </c>
      <c r="L22" s="220"/>
      <c r="M22" s="220"/>
      <c r="N22" s="220"/>
      <c r="O22" s="220"/>
      <c r="P22" s="191" t="s">
        <v>7</v>
      </c>
      <c r="Q22" s="216" t="s">
        <v>216</v>
      </c>
      <c r="R22" s="27"/>
    </row>
    <row r="23" spans="1:26" x14ac:dyDescent="0.35">
      <c r="A23" s="220"/>
      <c r="B23" s="220"/>
      <c r="C23" s="192"/>
      <c r="D23" s="192"/>
      <c r="E23" s="192"/>
      <c r="F23" s="220"/>
      <c r="G23" s="219"/>
      <c r="H23" s="192"/>
      <c r="I23" s="192"/>
      <c r="J23" s="237"/>
      <c r="K23" s="268" t="s">
        <v>18</v>
      </c>
      <c r="L23" s="268" t="s">
        <v>5</v>
      </c>
      <c r="M23" s="268"/>
      <c r="N23" s="268"/>
      <c r="O23" s="268"/>
      <c r="P23" s="270"/>
      <c r="Q23" s="267"/>
      <c r="R23" s="27"/>
    </row>
    <row r="24" spans="1:26" ht="86.5" customHeight="1" x14ac:dyDescent="0.35">
      <c r="A24" s="220"/>
      <c r="B24" s="220"/>
      <c r="C24" s="212"/>
      <c r="D24" s="212"/>
      <c r="E24" s="212"/>
      <c r="F24" s="220"/>
      <c r="G24" s="240"/>
      <c r="H24" s="212"/>
      <c r="I24" s="212"/>
      <c r="J24" s="238"/>
      <c r="K24" s="268"/>
      <c r="L24" s="173" t="s">
        <v>27</v>
      </c>
      <c r="M24" s="173" t="s">
        <v>6</v>
      </c>
      <c r="N24" s="173" t="s">
        <v>166</v>
      </c>
      <c r="O24" s="173" t="s">
        <v>13</v>
      </c>
      <c r="P24" s="242"/>
      <c r="Q24" s="217"/>
      <c r="R24" s="27"/>
      <c r="S24" s="18"/>
      <c r="T24" s="1"/>
      <c r="U24" s="1"/>
      <c r="V24" s="1"/>
      <c r="W24" s="1"/>
      <c r="X24" s="1"/>
      <c r="Y24" s="1"/>
      <c r="Z24" s="1"/>
    </row>
    <row r="25" spans="1:26" s="11" customFormat="1" ht="22.5" customHeight="1" x14ac:dyDescent="0.35">
      <c r="A25" s="173">
        <v>1</v>
      </c>
      <c r="B25" s="180">
        <v>2</v>
      </c>
      <c r="C25" s="180">
        <v>3</v>
      </c>
      <c r="D25" s="180">
        <v>4</v>
      </c>
      <c r="E25" s="180">
        <v>5</v>
      </c>
      <c r="F25" s="173">
        <v>6</v>
      </c>
      <c r="G25" s="180">
        <v>6</v>
      </c>
      <c r="H25" s="180">
        <v>7</v>
      </c>
      <c r="I25" s="180">
        <v>8</v>
      </c>
      <c r="J25" s="180">
        <v>9</v>
      </c>
      <c r="K25" s="180">
        <v>10</v>
      </c>
      <c r="L25" s="180">
        <v>11</v>
      </c>
      <c r="M25" s="180">
        <v>12</v>
      </c>
      <c r="N25" s="180">
        <v>13</v>
      </c>
      <c r="O25" s="180">
        <v>14</v>
      </c>
      <c r="P25" s="180"/>
      <c r="Q25" s="180">
        <v>15</v>
      </c>
      <c r="R25" s="37"/>
      <c r="S25" s="38"/>
    </row>
    <row r="26" spans="1:26" s="2" customFormat="1" ht="22.5" customHeight="1" x14ac:dyDescent="0.35">
      <c r="A26" s="246" t="s">
        <v>398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8"/>
      <c r="R26" s="28"/>
      <c r="S26" s="20"/>
    </row>
    <row r="27" spans="1:26" s="2" customFormat="1" ht="30.75" customHeight="1" x14ac:dyDescent="0.35">
      <c r="A27" s="233" t="s">
        <v>98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5"/>
      <c r="R27" s="28"/>
      <c r="S27" s="20"/>
    </row>
    <row r="28" spans="1:26" s="2" customFormat="1" ht="22.5" hidden="1" customHeight="1" x14ac:dyDescent="0.35">
      <c r="A28" s="78" t="s">
        <v>121</v>
      </c>
      <c r="B28" s="199" t="s">
        <v>171</v>
      </c>
      <c r="C28" s="156"/>
      <c r="D28" s="199" t="s">
        <v>375</v>
      </c>
      <c r="E28" s="199" t="s">
        <v>48</v>
      </c>
      <c r="F28" s="199" t="s">
        <v>50</v>
      </c>
      <c r="G28" s="199" t="s">
        <v>49</v>
      </c>
      <c r="H28" s="156"/>
      <c r="I28" s="156"/>
      <c r="J28" s="166">
        <v>2017</v>
      </c>
      <c r="K28" s="79">
        <f>L28+M28+N28</f>
        <v>57894.737000000001</v>
      </c>
      <c r="L28" s="79"/>
      <c r="M28" s="79">
        <v>55000</v>
      </c>
      <c r="N28" s="79">
        <v>2894.7370000000001</v>
      </c>
      <c r="O28" s="79"/>
      <c r="P28" s="80"/>
      <c r="Q28" s="194">
        <v>203674.57011</v>
      </c>
      <c r="R28" s="28"/>
      <c r="S28" s="20"/>
    </row>
    <row r="29" spans="1:26" s="2" customFormat="1" ht="22.5" hidden="1" customHeight="1" x14ac:dyDescent="0.35">
      <c r="A29" s="81"/>
      <c r="B29" s="204"/>
      <c r="C29" s="168"/>
      <c r="D29" s="204"/>
      <c r="E29" s="204"/>
      <c r="F29" s="204"/>
      <c r="G29" s="204"/>
      <c r="H29" s="168"/>
      <c r="I29" s="168"/>
      <c r="J29" s="166">
        <v>2018</v>
      </c>
      <c r="K29" s="79">
        <f>L29+M29+N29</f>
        <v>96744.30588</v>
      </c>
      <c r="L29" s="79"/>
      <c r="M29" s="79">
        <f>48881.442+14002.558+45143.541-14156.541</f>
        <v>93871</v>
      </c>
      <c r="N29" s="79">
        <v>2873.3058799999999</v>
      </c>
      <c r="O29" s="79"/>
      <c r="P29" s="80"/>
      <c r="Q29" s="195"/>
      <c r="R29" s="28"/>
      <c r="S29" s="20"/>
    </row>
    <row r="30" spans="1:26" s="2" customFormat="1" ht="22.5" hidden="1" customHeight="1" x14ac:dyDescent="0.35">
      <c r="A30" s="81"/>
      <c r="B30" s="204"/>
      <c r="C30" s="168"/>
      <c r="D30" s="204"/>
      <c r="E30" s="204"/>
      <c r="F30" s="204"/>
      <c r="G30" s="204"/>
      <c r="H30" s="168"/>
      <c r="I30" s="168"/>
      <c r="J30" s="82">
        <v>2019</v>
      </c>
      <c r="K30" s="83">
        <f>M30+N30+L30</f>
        <v>100484.45113</v>
      </c>
      <c r="L30" s="79"/>
      <c r="M30" s="79">
        <f>90143.541+9856.459-2500</f>
        <v>97500</v>
      </c>
      <c r="N30" s="83">
        <v>2984.4511299999999</v>
      </c>
      <c r="O30" s="79"/>
      <c r="P30" s="84"/>
      <c r="Q30" s="195"/>
      <c r="R30" s="28"/>
      <c r="S30" s="20"/>
    </row>
    <row r="31" spans="1:26" s="2" customFormat="1" ht="100.5" customHeight="1" x14ac:dyDescent="0.35">
      <c r="A31" s="199" t="s">
        <v>238</v>
      </c>
      <c r="B31" s="200"/>
      <c r="C31" s="157" t="s">
        <v>172</v>
      </c>
      <c r="D31" s="200"/>
      <c r="E31" s="200"/>
      <c r="F31" s="200"/>
      <c r="G31" s="200"/>
      <c r="H31" s="157" t="s">
        <v>37</v>
      </c>
      <c r="I31" s="157" t="s">
        <v>37</v>
      </c>
      <c r="J31" s="82">
        <v>2022</v>
      </c>
      <c r="K31" s="83">
        <f>K33</f>
        <v>5057.0891500000007</v>
      </c>
      <c r="L31" s="83">
        <f t="shared" ref="L31:P31" si="0">L33</f>
        <v>0</v>
      </c>
      <c r="M31" s="83">
        <f t="shared" si="0"/>
        <v>4652.5220200000003</v>
      </c>
      <c r="N31" s="83">
        <f t="shared" si="0"/>
        <v>404.56713000000002</v>
      </c>
      <c r="O31" s="83">
        <f t="shared" si="0"/>
        <v>0</v>
      </c>
      <c r="P31" s="83">
        <f t="shared" si="0"/>
        <v>0</v>
      </c>
      <c r="Q31" s="195"/>
      <c r="R31" s="28"/>
      <c r="S31" s="20"/>
    </row>
    <row r="32" spans="1:26" s="2" customFormat="1" ht="24.75" hidden="1" customHeight="1" x14ac:dyDescent="0.35">
      <c r="A32" s="204"/>
      <c r="B32" s="168" t="s">
        <v>167</v>
      </c>
      <c r="C32" s="168"/>
      <c r="D32" s="168"/>
      <c r="E32" s="168"/>
      <c r="F32" s="168"/>
      <c r="G32" s="168"/>
      <c r="H32" s="168"/>
      <c r="I32" s="168"/>
      <c r="J32" s="82">
        <v>2020</v>
      </c>
      <c r="K32" s="83">
        <v>2576.52439</v>
      </c>
      <c r="L32" s="79">
        <v>0</v>
      </c>
      <c r="M32" s="83">
        <v>1347.4779799999999</v>
      </c>
      <c r="N32" s="83">
        <v>41.24597</v>
      </c>
      <c r="O32" s="79">
        <v>0</v>
      </c>
      <c r="P32" s="84"/>
      <c r="Q32" s="195"/>
      <c r="R32" s="28"/>
      <c r="S32" s="20"/>
    </row>
    <row r="33" spans="1:19" s="2" customFormat="1" ht="24.75" customHeight="1" x14ac:dyDescent="0.35">
      <c r="A33" s="200"/>
      <c r="B33" s="168" t="s">
        <v>170</v>
      </c>
      <c r="C33" s="168"/>
      <c r="D33" s="168"/>
      <c r="E33" s="168"/>
      <c r="F33" s="168"/>
      <c r="G33" s="168"/>
      <c r="H33" s="168"/>
      <c r="I33" s="168"/>
      <c r="J33" s="82" t="s">
        <v>376</v>
      </c>
      <c r="K33" s="83">
        <f>L33+M33+N33+O33</f>
        <v>5057.0891500000007</v>
      </c>
      <c r="L33" s="79">
        <v>0</v>
      </c>
      <c r="M33" s="83">
        <v>4652.5220200000003</v>
      </c>
      <c r="N33" s="83">
        <v>404.56713000000002</v>
      </c>
      <c r="O33" s="79">
        <v>0</v>
      </c>
      <c r="P33" s="84"/>
      <c r="Q33" s="196"/>
      <c r="R33" s="28"/>
      <c r="S33" s="20"/>
    </row>
    <row r="34" spans="1:19" s="2" customFormat="1" ht="68.25" hidden="1" customHeight="1" x14ac:dyDescent="0.35">
      <c r="A34" s="199" t="s">
        <v>122</v>
      </c>
      <c r="B34" s="156" t="s">
        <v>174</v>
      </c>
      <c r="C34" s="156" t="s">
        <v>173</v>
      </c>
      <c r="D34" s="156" t="s">
        <v>236</v>
      </c>
      <c r="E34" s="156" t="s">
        <v>15</v>
      </c>
      <c r="F34" s="156"/>
      <c r="G34" s="85"/>
      <c r="H34" s="85" t="s">
        <v>61</v>
      </c>
      <c r="I34" s="85" t="s">
        <v>61</v>
      </c>
      <c r="J34" s="166" t="s">
        <v>69</v>
      </c>
      <c r="K34" s="79">
        <f t="shared" ref="K34:K38" si="1">M34</f>
        <v>9354.482759999999</v>
      </c>
      <c r="L34" s="79">
        <f>L35+L36</f>
        <v>0</v>
      </c>
      <c r="M34" s="79">
        <f t="shared" ref="M34:O34" si="2">M35+M36</f>
        <v>9354.482759999999</v>
      </c>
      <c r="N34" s="79">
        <f t="shared" si="2"/>
        <v>0</v>
      </c>
      <c r="O34" s="79">
        <f t="shared" si="2"/>
        <v>0</v>
      </c>
      <c r="P34" s="80"/>
      <c r="Q34" s="194" t="s">
        <v>168</v>
      </c>
      <c r="R34" s="28"/>
      <c r="S34" s="20"/>
    </row>
    <row r="35" spans="1:19" s="2" customFormat="1" ht="24.75" hidden="1" customHeight="1" x14ac:dyDescent="0.35">
      <c r="A35" s="204"/>
      <c r="B35" s="199" t="s">
        <v>169</v>
      </c>
      <c r="C35" s="199"/>
      <c r="D35" s="199"/>
      <c r="E35" s="199"/>
      <c r="F35" s="199"/>
      <c r="G35" s="199"/>
      <c r="H35" s="199"/>
      <c r="I35" s="199"/>
      <c r="J35" s="166">
        <v>2020</v>
      </c>
      <c r="K35" s="83">
        <f t="shared" si="1"/>
        <v>2194.4827599999999</v>
      </c>
      <c r="L35" s="79">
        <v>0</v>
      </c>
      <c r="M35" s="83">
        <v>2194.4827599999999</v>
      </c>
      <c r="N35" s="79">
        <v>0</v>
      </c>
      <c r="O35" s="79">
        <v>0</v>
      </c>
      <c r="P35" s="80"/>
      <c r="Q35" s="195"/>
      <c r="R35" s="28"/>
      <c r="S35" s="20"/>
    </row>
    <row r="36" spans="1:19" s="2" customFormat="1" ht="24.75" hidden="1" customHeight="1" x14ac:dyDescent="0.35">
      <c r="A36" s="200"/>
      <c r="B36" s="200"/>
      <c r="C36" s="200"/>
      <c r="D36" s="200"/>
      <c r="E36" s="200"/>
      <c r="F36" s="200"/>
      <c r="G36" s="200"/>
      <c r="H36" s="200"/>
      <c r="I36" s="200"/>
      <c r="J36" s="166" t="s">
        <v>384</v>
      </c>
      <c r="K36" s="83">
        <f>M36</f>
        <v>7160</v>
      </c>
      <c r="L36" s="79">
        <v>0</v>
      </c>
      <c r="M36" s="83">
        <v>7160</v>
      </c>
      <c r="N36" s="79">
        <v>0</v>
      </c>
      <c r="O36" s="79">
        <v>0</v>
      </c>
      <c r="P36" s="80"/>
      <c r="Q36" s="196"/>
      <c r="R36" s="28"/>
      <c r="S36" s="20"/>
    </row>
    <row r="37" spans="1:19" s="2" customFormat="1" ht="82.5" hidden="1" customHeight="1" x14ac:dyDescent="0.35">
      <c r="A37" s="199" t="s">
        <v>123</v>
      </c>
      <c r="B37" s="156" t="s">
        <v>176</v>
      </c>
      <c r="C37" s="156" t="s">
        <v>175</v>
      </c>
      <c r="D37" s="156" t="s">
        <v>236</v>
      </c>
      <c r="E37" s="156" t="s">
        <v>15</v>
      </c>
      <c r="F37" s="156"/>
      <c r="G37" s="85"/>
      <c r="H37" s="156" t="s">
        <v>61</v>
      </c>
      <c r="I37" s="156" t="s">
        <v>61</v>
      </c>
      <c r="J37" s="166" t="s">
        <v>69</v>
      </c>
      <c r="K37" s="79">
        <f t="shared" ref="K37:P37" si="3">K38+K40</f>
        <v>8146.4979800000001</v>
      </c>
      <c r="L37" s="79">
        <f t="shared" si="3"/>
        <v>0</v>
      </c>
      <c r="M37" s="79">
        <f t="shared" si="3"/>
        <v>8146.4979800000001</v>
      </c>
      <c r="N37" s="79">
        <f t="shared" si="3"/>
        <v>0</v>
      </c>
      <c r="O37" s="79">
        <f t="shared" si="3"/>
        <v>0</v>
      </c>
      <c r="P37" s="79">
        <f t="shared" si="3"/>
        <v>0</v>
      </c>
      <c r="Q37" s="194" t="s">
        <v>168</v>
      </c>
      <c r="R37" s="28"/>
      <c r="S37" s="20"/>
    </row>
    <row r="38" spans="1:19" s="2" customFormat="1" ht="23.25" hidden="1" customHeight="1" x14ac:dyDescent="0.35">
      <c r="A38" s="204"/>
      <c r="B38" s="199" t="s">
        <v>169</v>
      </c>
      <c r="C38" s="199"/>
      <c r="D38" s="199"/>
      <c r="E38" s="199"/>
      <c r="F38" s="199"/>
      <c r="G38" s="199"/>
      <c r="H38" s="199"/>
      <c r="I38" s="199"/>
      <c r="J38" s="166">
        <v>2020</v>
      </c>
      <c r="K38" s="79">
        <f t="shared" si="1"/>
        <v>5899.51</v>
      </c>
      <c r="L38" s="79">
        <v>0</v>
      </c>
      <c r="M38" s="79">
        <f>5900-0.49</f>
        <v>5899.51</v>
      </c>
      <c r="N38" s="79">
        <v>0</v>
      </c>
      <c r="O38" s="79">
        <v>0</v>
      </c>
      <c r="P38" s="80"/>
      <c r="Q38" s="195"/>
      <c r="R38" s="28"/>
      <c r="S38" s="20"/>
    </row>
    <row r="39" spans="1:19" s="2" customFormat="1" ht="23.25" hidden="1" customHeight="1" x14ac:dyDescent="0.35">
      <c r="A39" s="204"/>
      <c r="B39" s="204"/>
      <c r="C39" s="204"/>
      <c r="D39" s="204"/>
      <c r="E39" s="204"/>
      <c r="F39" s="204"/>
      <c r="G39" s="204"/>
      <c r="H39" s="204"/>
      <c r="I39" s="204"/>
      <c r="J39" s="166">
        <v>2021</v>
      </c>
      <c r="K39" s="83">
        <f>L39+M39+N39+O39</f>
        <v>4652.5220200000003</v>
      </c>
      <c r="L39" s="79">
        <v>0</v>
      </c>
      <c r="M39" s="83">
        <v>4652.5220200000003</v>
      </c>
      <c r="N39" s="79">
        <v>0</v>
      </c>
      <c r="O39" s="79">
        <v>0</v>
      </c>
      <c r="P39" s="80"/>
      <c r="Q39" s="195"/>
      <c r="R39" s="28"/>
      <c r="S39" s="20"/>
    </row>
    <row r="40" spans="1:19" s="2" customFormat="1" ht="23.25" hidden="1" customHeight="1" x14ac:dyDescent="0.35">
      <c r="A40" s="200"/>
      <c r="B40" s="200"/>
      <c r="C40" s="200"/>
      <c r="D40" s="200"/>
      <c r="E40" s="200"/>
      <c r="F40" s="200"/>
      <c r="G40" s="200"/>
      <c r="H40" s="200"/>
      <c r="I40" s="200"/>
      <c r="J40" s="166" t="s">
        <v>384</v>
      </c>
      <c r="K40" s="83">
        <f>L40+M40+N40+O40</f>
        <v>2246.9879799999999</v>
      </c>
      <c r="L40" s="79">
        <v>0</v>
      </c>
      <c r="M40" s="83">
        <f>6899.51-4652.52202</f>
        <v>2246.9879799999999</v>
      </c>
      <c r="N40" s="79">
        <v>0</v>
      </c>
      <c r="O40" s="79">
        <v>0</v>
      </c>
      <c r="P40" s="80"/>
      <c r="Q40" s="196"/>
      <c r="R40" s="28"/>
      <c r="S40" s="20"/>
    </row>
    <row r="41" spans="1:19" s="2" customFormat="1" ht="57" hidden="1" customHeight="1" x14ac:dyDescent="0.35">
      <c r="A41" s="199" t="s">
        <v>124</v>
      </c>
      <c r="B41" s="156" t="s">
        <v>232</v>
      </c>
      <c r="C41" s="156" t="s">
        <v>177</v>
      </c>
      <c r="D41" s="156" t="s">
        <v>236</v>
      </c>
      <c r="E41" s="156" t="s">
        <v>15</v>
      </c>
      <c r="F41" s="156"/>
      <c r="G41" s="85"/>
      <c r="H41" s="156" t="s">
        <v>61</v>
      </c>
      <c r="I41" s="156" t="s">
        <v>61</v>
      </c>
      <c r="J41" s="166" t="s">
        <v>69</v>
      </c>
      <c r="K41" s="83">
        <f>K42+K43</f>
        <v>41224.323109999998</v>
      </c>
      <c r="L41" s="79">
        <f t="shared" ref="L41:O41" si="4">L42+L43</f>
        <v>0</v>
      </c>
      <c r="M41" s="83">
        <f t="shared" si="4"/>
        <v>41224.323109999998</v>
      </c>
      <c r="N41" s="79">
        <f t="shared" si="4"/>
        <v>0</v>
      </c>
      <c r="O41" s="79">
        <f t="shared" si="4"/>
        <v>0</v>
      </c>
      <c r="P41" s="80"/>
      <c r="Q41" s="194">
        <v>5675.6769999999997</v>
      </c>
      <c r="R41" s="28"/>
      <c r="S41" s="20"/>
    </row>
    <row r="42" spans="1:19" s="2" customFormat="1" ht="28.5" hidden="1" customHeight="1" x14ac:dyDescent="0.35">
      <c r="A42" s="204"/>
      <c r="B42" s="199" t="s">
        <v>169</v>
      </c>
      <c r="C42" s="199"/>
      <c r="D42" s="199"/>
      <c r="E42" s="199"/>
      <c r="F42" s="199"/>
      <c r="G42" s="199"/>
      <c r="H42" s="199"/>
      <c r="I42" s="199"/>
      <c r="J42" s="166">
        <v>2020</v>
      </c>
      <c r="K42" s="79">
        <v>23700</v>
      </c>
      <c r="L42" s="79">
        <v>0</v>
      </c>
      <c r="M42" s="79">
        <v>23700</v>
      </c>
      <c r="N42" s="79">
        <v>0</v>
      </c>
      <c r="O42" s="79">
        <v>0</v>
      </c>
      <c r="P42" s="80"/>
      <c r="Q42" s="195"/>
      <c r="R42" s="28"/>
      <c r="S42" s="20"/>
    </row>
    <row r="43" spans="1:19" s="2" customFormat="1" ht="28.5" hidden="1" customHeight="1" x14ac:dyDescent="0.35">
      <c r="A43" s="200"/>
      <c r="B43" s="200"/>
      <c r="C43" s="200"/>
      <c r="D43" s="200"/>
      <c r="E43" s="200"/>
      <c r="F43" s="200"/>
      <c r="G43" s="200"/>
      <c r="H43" s="200"/>
      <c r="I43" s="200"/>
      <c r="J43" s="166" t="s">
        <v>384</v>
      </c>
      <c r="K43" s="83">
        <f>L43+M43+N43+O43</f>
        <v>17524.323110000001</v>
      </c>
      <c r="L43" s="79">
        <v>0</v>
      </c>
      <c r="M43" s="83">
        <v>17524.323110000001</v>
      </c>
      <c r="N43" s="79">
        <v>0</v>
      </c>
      <c r="O43" s="79">
        <v>0</v>
      </c>
      <c r="P43" s="80"/>
      <c r="Q43" s="196"/>
      <c r="R43" s="28"/>
      <c r="S43" s="20"/>
    </row>
    <row r="44" spans="1:19" s="2" customFormat="1" ht="67.5" hidden="1" customHeight="1" x14ac:dyDescent="0.35">
      <c r="A44" s="199" t="s">
        <v>125</v>
      </c>
      <c r="B44" s="156" t="s">
        <v>179</v>
      </c>
      <c r="C44" s="156" t="s">
        <v>178</v>
      </c>
      <c r="D44" s="156" t="s">
        <v>236</v>
      </c>
      <c r="E44" s="156" t="s">
        <v>15</v>
      </c>
      <c r="F44" s="156"/>
      <c r="G44" s="85"/>
      <c r="H44" s="156" t="s">
        <v>61</v>
      </c>
      <c r="I44" s="156" t="s">
        <v>61</v>
      </c>
      <c r="J44" s="166" t="s">
        <v>69</v>
      </c>
      <c r="K44" s="79">
        <f>K45+K46</f>
        <v>6851.6666599999999</v>
      </c>
      <c r="L44" s="79">
        <f t="shared" ref="L44:O44" si="5">L45+L46</f>
        <v>0</v>
      </c>
      <c r="M44" s="79">
        <f t="shared" si="5"/>
        <v>6851.6666599999999</v>
      </c>
      <c r="N44" s="79">
        <f t="shared" si="5"/>
        <v>0</v>
      </c>
      <c r="O44" s="79">
        <f t="shared" si="5"/>
        <v>0</v>
      </c>
      <c r="P44" s="80"/>
      <c r="Q44" s="194" t="s">
        <v>168</v>
      </c>
      <c r="R44" s="28"/>
      <c r="S44" s="20"/>
    </row>
    <row r="45" spans="1:19" s="2" customFormat="1" ht="22.5" hidden="1" customHeight="1" x14ac:dyDescent="0.35">
      <c r="A45" s="204"/>
      <c r="B45" s="199" t="s">
        <v>169</v>
      </c>
      <c r="C45" s="199"/>
      <c r="D45" s="199"/>
      <c r="E45" s="199"/>
      <c r="F45" s="199"/>
      <c r="G45" s="199"/>
      <c r="H45" s="199"/>
      <c r="I45" s="199"/>
      <c r="J45" s="166">
        <v>2020</v>
      </c>
      <c r="K45" s="83">
        <f t="shared" ref="K45" si="6">L45+M45+N45</f>
        <v>1599.1666600000001</v>
      </c>
      <c r="L45" s="79">
        <v>0</v>
      </c>
      <c r="M45" s="83">
        <v>1599.1666600000001</v>
      </c>
      <c r="N45" s="79">
        <v>0</v>
      </c>
      <c r="O45" s="79">
        <v>0</v>
      </c>
      <c r="P45" s="80"/>
      <c r="Q45" s="195"/>
      <c r="R45" s="28"/>
      <c r="S45" s="20"/>
    </row>
    <row r="46" spans="1:19" s="2" customFormat="1" ht="22.5" hidden="1" customHeight="1" x14ac:dyDescent="0.35">
      <c r="A46" s="200"/>
      <c r="B46" s="200"/>
      <c r="C46" s="200"/>
      <c r="D46" s="200"/>
      <c r="E46" s="200"/>
      <c r="F46" s="200"/>
      <c r="G46" s="200"/>
      <c r="H46" s="200"/>
      <c r="I46" s="200"/>
      <c r="J46" s="166" t="s">
        <v>384</v>
      </c>
      <c r="K46" s="83">
        <f>L46+M46+N46+O46</f>
        <v>5252.5</v>
      </c>
      <c r="L46" s="79">
        <v>0</v>
      </c>
      <c r="M46" s="83">
        <v>5252.5</v>
      </c>
      <c r="N46" s="79">
        <v>0</v>
      </c>
      <c r="O46" s="79">
        <v>0</v>
      </c>
      <c r="P46" s="80"/>
      <c r="Q46" s="196"/>
      <c r="R46" s="28"/>
      <c r="S46" s="20"/>
    </row>
    <row r="47" spans="1:19" s="2" customFormat="1" ht="108.75" hidden="1" customHeight="1" x14ac:dyDescent="0.35">
      <c r="A47" s="199" t="s">
        <v>126</v>
      </c>
      <c r="B47" s="156" t="s">
        <v>180</v>
      </c>
      <c r="C47" s="156" t="s">
        <v>181</v>
      </c>
      <c r="D47" s="156" t="s">
        <v>101</v>
      </c>
      <c r="E47" s="156" t="s">
        <v>102</v>
      </c>
      <c r="F47" s="156" t="s">
        <v>103</v>
      </c>
      <c r="G47" s="85" t="s">
        <v>385</v>
      </c>
      <c r="H47" s="156" t="s">
        <v>106</v>
      </c>
      <c r="I47" s="156" t="s">
        <v>106</v>
      </c>
      <c r="J47" s="166">
        <v>2020</v>
      </c>
      <c r="K47" s="83">
        <f>K48</f>
        <v>22995.98084</v>
      </c>
      <c r="L47" s="83">
        <f t="shared" ref="L47:O47" si="7">L48</f>
        <v>0</v>
      </c>
      <c r="M47" s="83">
        <f t="shared" si="7"/>
        <v>22536.06122</v>
      </c>
      <c r="N47" s="83">
        <f t="shared" si="7"/>
        <v>459.91962000000001</v>
      </c>
      <c r="O47" s="83">
        <f t="shared" si="7"/>
        <v>0</v>
      </c>
      <c r="P47" s="80"/>
      <c r="Q47" s="194">
        <v>22995.981</v>
      </c>
      <c r="R47" s="28"/>
      <c r="S47" s="20"/>
    </row>
    <row r="48" spans="1:19" s="2" customFormat="1" ht="29.25" hidden="1" customHeight="1" x14ac:dyDescent="0.35">
      <c r="A48" s="200"/>
      <c r="B48" s="156" t="s">
        <v>170</v>
      </c>
      <c r="C48" s="156"/>
      <c r="D48" s="156"/>
      <c r="E48" s="156"/>
      <c r="F48" s="156"/>
      <c r="G48" s="85"/>
      <c r="H48" s="156"/>
      <c r="I48" s="156"/>
      <c r="J48" s="166">
        <v>2020</v>
      </c>
      <c r="K48" s="83">
        <f>L48+M48+N48+O48</f>
        <v>22995.98084</v>
      </c>
      <c r="L48" s="79">
        <v>0</v>
      </c>
      <c r="M48" s="83">
        <v>22536.06122</v>
      </c>
      <c r="N48" s="83">
        <v>459.91962000000001</v>
      </c>
      <c r="O48" s="79">
        <v>0</v>
      </c>
      <c r="P48" s="80"/>
      <c r="Q48" s="196"/>
      <c r="R48" s="28"/>
      <c r="S48" s="20"/>
    </row>
    <row r="49" spans="1:19" s="2" customFormat="1" ht="73.5" customHeight="1" x14ac:dyDescent="0.35">
      <c r="A49" s="199" t="s">
        <v>239</v>
      </c>
      <c r="B49" s="167" t="s">
        <v>148</v>
      </c>
      <c r="C49" s="167" t="s">
        <v>182</v>
      </c>
      <c r="D49" s="167" t="s">
        <v>364</v>
      </c>
      <c r="E49" s="167" t="s">
        <v>104</v>
      </c>
      <c r="F49" s="167" t="s">
        <v>105</v>
      </c>
      <c r="G49" s="86" t="s">
        <v>386</v>
      </c>
      <c r="H49" s="167" t="s">
        <v>107</v>
      </c>
      <c r="I49" s="167" t="s">
        <v>107</v>
      </c>
      <c r="J49" s="166" t="s">
        <v>146</v>
      </c>
      <c r="K49" s="83">
        <f>SUM(K53,K52)</f>
        <v>107788.76407</v>
      </c>
      <c r="L49" s="83">
        <f>L52</f>
        <v>53152.800000000003</v>
      </c>
      <c r="M49" s="83">
        <f>M52+M53</f>
        <v>50601.104399999997</v>
      </c>
      <c r="N49" s="83">
        <f>N52+N53</f>
        <v>4034.8596699999998</v>
      </c>
      <c r="O49" s="79">
        <f>O50+O51+O52</f>
        <v>0</v>
      </c>
      <c r="P49" s="80"/>
      <c r="Q49" s="194">
        <f>167540.243+26836.667</f>
        <v>194376.90999999997</v>
      </c>
      <c r="R49" s="28"/>
      <c r="S49" s="20"/>
    </row>
    <row r="50" spans="1:19" s="2" customFormat="1" ht="33" hidden="1" customHeight="1" x14ac:dyDescent="0.35">
      <c r="A50" s="204"/>
      <c r="B50" s="228" t="s">
        <v>170</v>
      </c>
      <c r="C50" s="228"/>
      <c r="D50" s="228"/>
      <c r="E50" s="228"/>
      <c r="F50" s="228"/>
      <c r="G50" s="228"/>
      <c r="H50" s="228"/>
      <c r="I50" s="228"/>
      <c r="J50" s="166">
        <v>2020</v>
      </c>
      <c r="K50" s="83">
        <f>L50+M50+N50+O50</f>
        <v>16875.842000000001</v>
      </c>
      <c r="L50" s="79">
        <v>0</v>
      </c>
      <c r="M50" s="83">
        <v>16538.32516</v>
      </c>
      <c r="N50" s="83">
        <v>337.51684</v>
      </c>
      <c r="O50" s="79">
        <v>0</v>
      </c>
      <c r="P50" s="80"/>
      <c r="Q50" s="195"/>
      <c r="R50" s="28"/>
      <c r="S50" s="20"/>
    </row>
    <row r="51" spans="1:19" s="2" customFormat="1" ht="33" hidden="1" customHeight="1" x14ac:dyDescent="0.35">
      <c r="A51" s="204"/>
      <c r="B51" s="229"/>
      <c r="C51" s="229"/>
      <c r="D51" s="229"/>
      <c r="E51" s="229"/>
      <c r="F51" s="229"/>
      <c r="G51" s="229"/>
      <c r="H51" s="229"/>
      <c r="I51" s="229"/>
      <c r="J51" s="166">
        <v>2021</v>
      </c>
      <c r="K51" s="83">
        <f t="shared" ref="K51:K53" si="8">L51+M51+N51+O51</f>
        <v>69712.303930000009</v>
      </c>
      <c r="L51" s="79">
        <v>45772.800000000003</v>
      </c>
      <c r="M51" s="83">
        <v>22544.812040000001</v>
      </c>
      <c r="N51" s="83">
        <v>1394.6918900000001</v>
      </c>
      <c r="O51" s="79">
        <v>0</v>
      </c>
      <c r="P51" s="80"/>
      <c r="Q51" s="195"/>
      <c r="R51" s="28"/>
      <c r="S51" s="20"/>
    </row>
    <row r="52" spans="1:19" s="2" customFormat="1" ht="33" customHeight="1" x14ac:dyDescent="0.35">
      <c r="A52" s="204"/>
      <c r="B52" s="229"/>
      <c r="C52" s="229"/>
      <c r="D52" s="229"/>
      <c r="E52" s="229"/>
      <c r="F52" s="229"/>
      <c r="G52" s="193"/>
      <c r="H52" s="229"/>
      <c r="I52" s="229"/>
      <c r="J52" s="166">
        <v>2022</v>
      </c>
      <c r="K52" s="83">
        <f t="shared" si="8"/>
        <v>80952.097070000003</v>
      </c>
      <c r="L52" s="79">
        <v>53152.800000000003</v>
      </c>
      <c r="M52" s="83">
        <v>26179.737430000001</v>
      </c>
      <c r="N52" s="83">
        <v>1619.5596399999999</v>
      </c>
      <c r="O52" s="79">
        <v>0</v>
      </c>
      <c r="P52" s="80"/>
      <c r="Q52" s="195"/>
      <c r="R52" s="28"/>
      <c r="S52" s="20"/>
    </row>
    <row r="53" spans="1:19" s="2" customFormat="1" ht="33" customHeight="1" x14ac:dyDescent="0.35">
      <c r="A53" s="193"/>
      <c r="B53" s="193"/>
      <c r="C53" s="193"/>
      <c r="D53" s="193"/>
      <c r="E53" s="193"/>
      <c r="F53" s="193"/>
      <c r="G53" s="181"/>
      <c r="H53" s="193"/>
      <c r="I53" s="193"/>
      <c r="J53" s="166">
        <v>2023</v>
      </c>
      <c r="K53" s="153">
        <f t="shared" si="8"/>
        <v>26836.666999999998</v>
      </c>
      <c r="L53" s="153">
        <v>0</v>
      </c>
      <c r="M53" s="153">
        <v>24421.366969999999</v>
      </c>
      <c r="N53" s="153">
        <v>2415.3000299999999</v>
      </c>
      <c r="O53" s="153">
        <v>0</v>
      </c>
      <c r="P53" s="80"/>
      <c r="Q53" s="196"/>
      <c r="R53" s="28"/>
      <c r="S53" s="20"/>
    </row>
    <row r="54" spans="1:19" s="2" customFormat="1" ht="100.5" customHeight="1" x14ac:dyDescent="0.35">
      <c r="A54" s="199" t="s">
        <v>240</v>
      </c>
      <c r="B54" s="156" t="s">
        <v>275</v>
      </c>
      <c r="C54" s="167" t="s">
        <v>272</v>
      </c>
      <c r="D54" s="182" t="s">
        <v>387</v>
      </c>
      <c r="E54" s="173" t="s">
        <v>273</v>
      </c>
      <c r="F54" s="173" t="s">
        <v>274</v>
      </c>
      <c r="G54" s="87">
        <v>49905.09</v>
      </c>
      <c r="H54" s="167" t="s">
        <v>147</v>
      </c>
      <c r="I54" s="167" t="s">
        <v>147</v>
      </c>
      <c r="J54" s="166" t="s">
        <v>146</v>
      </c>
      <c r="K54" s="79">
        <f>K55+K56</f>
        <v>44848.000019999999</v>
      </c>
      <c r="L54" s="79">
        <f t="shared" ref="L54:O54" si="9">L55+L56</f>
        <v>0</v>
      </c>
      <c r="M54" s="79">
        <f t="shared" si="9"/>
        <v>41260.159979999997</v>
      </c>
      <c r="N54" s="79">
        <f t="shared" si="9"/>
        <v>3587.84004</v>
      </c>
      <c r="O54" s="79">
        <f t="shared" si="9"/>
        <v>0</v>
      </c>
      <c r="P54" s="80"/>
      <c r="Q54" s="194">
        <f>20767.38096+30111.41906</f>
        <v>50878.800019999995</v>
      </c>
      <c r="R54" s="28"/>
      <c r="S54" s="20"/>
    </row>
    <row r="55" spans="1:19" s="2" customFormat="1" ht="35.25" customHeight="1" x14ac:dyDescent="0.35">
      <c r="A55" s="204"/>
      <c r="B55" s="259" t="s">
        <v>170</v>
      </c>
      <c r="C55" s="199"/>
      <c r="D55" s="199"/>
      <c r="E55" s="199"/>
      <c r="F55" s="199"/>
      <c r="G55" s="199"/>
      <c r="H55" s="199"/>
      <c r="I55" s="199"/>
      <c r="J55" s="166">
        <v>2022</v>
      </c>
      <c r="K55" s="153">
        <f>L55+M55+N55+O55</f>
        <v>14736.580959999999</v>
      </c>
      <c r="L55" s="153">
        <v>0</v>
      </c>
      <c r="M55" s="153">
        <v>13557.654479999999</v>
      </c>
      <c r="N55" s="153">
        <v>1178.9264800000001</v>
      </c>
      <c r="O55" s="153">
        <v>0</v>
      </c>
      <c r="P55" s="80"/>
      <c r="Q55" s="195"/>
      <c r="R55" s="28"/>
      <c r="S55" s="20"/>
    </row>
    <row r="56" spans="1:19" s="2" customFormat="1" ht="35.25" customHeight="1" x14ac:dyDescent="0.35">
      <c r="A56" s="200"/>
      <c r="B56" s="259"/>
      <c r="C56" s="200"/>
      <c r="D56" s="200"/>
      <c r="E56" s="200"/>
      <c r="F56" s="200"/>
      <c r="G56" s="200"/>
      <c r="H56" s="200"/>
      <c r="I56" s="200"/>
      <c r="J56" s="166">
        <v>2023</v>
      </c>
      <c r="K56" s="153">
        <f>L56+M56+N56+O56</f>
        <v>30111.41906</v>
      </c>
      <c r="L56" s="153">
        <v>0</v>
      </c>
      <c r="M56" s="153">
        <v>27702.505499999999</v>
      </c>
      <c r="N56" s="153">
        <v>2408.91356</v>
      </c>
      <c r="O56" s="153">
        <v>0</v>
      </c>
      <c r="P56" s="80"/>
      <c r="Q56" s="196"/>
      <c r="R56" s="28"/>
      <c r="S56" s="20"/>
    </row>
    <row r="57" spans="1:19" s="74" customFormat="1" ht="52.5" hidden="1" customHeight="1" x14ac:dyDescent="0.35">
      <c r="A57" s="199" t="s">
        <v>318</v>
      </c>
      <c r="B57" s="156" t="s">
        <v>174</v>
      </c>
      <c r="C57" s="156" t="s">
        <v>173</v>
      </c>
      <c r="D57" s="156" t="s">
        <v>351</v>
      </c>
      <c r="E57" s="156" t="s">
        <v>15</v>
      </c>
      <c r="F57" s="156"/>
      <c r="G57" s="88"/>
      <c r="H57" s="89" t="s">
        <v>61</v>
      </c>
      <c r="I57" s="89" t="s">
        <v>61</v>
      </c>
      <c r="J57" s="166">
        <v>2023</v>
      </c>
      <c r="K57" s="79">
        <f t="shared" ref="K57" si="10">M57</f>
        <v>0</v>
      </c>
      <c r="L57" s="79">
        <f>L58</f>
        <v>0</v>
      </c>
      <c r="M57" s="83">
        <f t="shared" ref="M57:O57" si="11">M58</f>
        <v>0</v>
      </c>
      <c r="N57" s="79">
        <f t="shared" si="11"/>
        <v>0</v>
      </c>
      <c r="O57" s="79">
        <f t="shared" si="11"/>
        <v>0</v>
      </c>
      <c r="P57" s="80"/>
      <c r="Q57" s="194"/>
      <c r="R57" s="72"/>
      <c r="S57" s="73"/>
    </row>
    <row r="58" spans="1:19" s="74" customFormat="1" ht="52.5" hidden="1" customHeight="1" x14ac:dyDescent="0.35">
      <c r="A58" s="200"/>
      <c r="B58" s="167" t="s">
        <v>169</v>
      </c>
      <c r="C58" s="167"/>
      <c r="D58" s="167"/>
      <c r="E58" s="167"/>
      <c r="F58" s="167"/>
      <c r="G58" s="88"/>
      <c r="H58" s="167"/>
      <c r="I58" s="167"/>
      <c r="J58" s="166">
        <v>2023</v>
      </c>
      <c r="K58" s="83">
        <f>M58</f>
        <v>0</v>
      </c>
      <c r="L58" s="79">
        <v>0</v>
      </c>
      <c r="M58" s="83">
        <v>0</v>
      </c>
      <c r="N58" s="79">
        <v>0</v>
      </c>
      <c r="O58" s="79">
        <v>0</v>
      </c>
      <c r="P58" s="80"/>
      <c r="Q58" s="196"/>
      <c r="R58" s="72"/>
      <c r="S58" s="73"/>
    </row>
    <row r="59" spans="1:19" s="2" customFormat="1" ht="79.75" customHeight="1" x14ac:dyDescent="0.35">
      <c r="A59" s="214" t="s">
        <v>318</v>
      </c>
      <c r="B59" s="156" t="s">
        <v>176</v>
      </c>
      <c r="C59" s="156" t="s">
        <v>175</v>
      </c>
      <c r="D59" s="156" t="s">
        <v>236</v>
      </c>
      <c r="E59" s="156" t="s">
        <v>363</v>
      </c>
      <c r="F59" s="156" t="s">
        <v>383</v>
      </c>
      <c r="G59" s="88"/>
      <c r="H59" s="156" t="s">
        <v>61</v>
      </c>
      <c r="I59" s="156" t="s">
        <v>61</v>
      </c>
      <c r="J59" s="166">
        <v>2022</v>
      </c>
      <c r="K59" s="83">
        <f>L59+M59+N59+O59</f>
        <v>3943.8280100000002</v>
      </c>
      <c r="L59" s="79">
        <f>L60</f>
        <v>0</v>
      </c>
      <c r="M59" s="83">
        <f t="shared" ref="M59:O59" si="12">M60</f>
        <v>3943.8280100000002</v>
      </c>
      <c r="N59" s="79">
        <f t="shared" si="12"/>
        <v>0</v>
      </c>
      <c r="O59" s="79">
        <f t="shared" si="12"/>
        <v>0</v>
      </c>
      <c r="P59" s="80"/>
      <c r="Q59" s="194">
        <v>6093.61301</v>
      </c>
      <c r="R59" s="28"/>
      <c r="S59" s="20"/>
    </row>
    <row r="60" spans="1:19" s="2" customFormat="1" ht="35.25" customHeight="1" x14ac:dyDescent="0.35">
      <c r="A60" s="214"/>
      <c r="B60" s="167" t="s">
        <v>169</v>
      </c>
      <c r="C60" s="167"/>
      <c r="D60" s="167"/>
      <c r="E60" s="167"/>
      <c r="F60" s="167"/>
      <c r="G60" s="88"/>
      <c r="H60" s="167"/>
      <c r="I60" s="167"/>
      <c r="J60" s="166">
        <v>2022</v>
      </c>
      <c r="K60" s="83">
        <f>L60+M60+N60+O60</f>
        <v>3943.8280100000002</v>
      </c>
      <c r="L60" s="79">
        <v>0</v>
      </c>
      <c r="M60" s="83">
        <f>2749.725+2000-805.89699</f>
        <v>3943.8280100000002</v>
      </c>
      <c r="N60" s="79">
        <v>0</v>
      </c>
      <c r="O60" s="79">
        <v>0</v>
      </c>
      <c r="P60" s="80"/>
      <c r="Q60" s="196"/>
      <c r="R60" s="28"/>
      <c r="S60" s="20"/>
    </row>
    <row r="61" spans="1:19" s="2" customFormat="1" ht="57.75" customHeight="1" x14ac:dyDescent="0.35">
      <c r="A61" s="199" t="s">
        <v>319</v>
      </c>
      <c r="B61" s="156" t="s">
        <v>232</v>
      </c>
      <c r="C61" s="156" t="s">
        <v>177</v>
      </c>
      <c r="D61" s="156" t="s">
        <v>351</v>
      </c>
      <c r="E61" s="156" t="s">
        <v>15</v>
      </c>
      <c r="F61" s="156"/>
      <c r="G61" s="88"/>
      <c r="H61" s="156" t="s">
        <v>61</v>
      </c>
      <c r="I61" s="156" t="s">
        <v>61</v>
      </c>
      <c r="J61" s="166" t="s">
        <v>146</v>
      </c>
      <c r="K61" s="83">
        <f>SUM(K65,K62)</f>
        <v>27268.836939999997</v>
      </c>
      <c r="L61" s="79">
        <f>L62</f>
        <v>0</v>
      </c>
      <c r="M61" s="83">
        <f>SUM(M65,M62)</f>
        <v>27268.836939999997</v>
      </c>
      <c r="N61" s="79">
        <f t="shared" ref="N61:O61" si="13">N62</f>
        <v>0</v>
      </c>
      <c r="O61" s="79">
        <f t="shared" si="13"/>
        <v>0</v>
      </c>
      <c r="P61" s="80"/>
      <c r="Q61" s="194">
        <f>7611.55012+9828.64341</f>
        <v>17440.19353</v>
      </c>
      <c r="R61" s="28"/>
      <c r="S61" s="20"/>
    </row>
    <row r="62" spans="1:19" s="2" customFormat="1" ht="35.25" customHeight="1" x14ac:dyDescent="0.35">
      <c r="A62" s="204"/>
      <c r="B62" s="199" t="s">
        <v>169</v>
      </c>
      <c r="C62" s="199"/>
      <c r="D62" s="199"/>
      <c r="E62" s="199"/>
      <c r="F62" s="199"/>
      <c r="G62" s="199"/>
      <c r="H62" s="199"/>
      <c r="I62" s="199"/>
      <c r="J62" s="90">
        <v>2022</v>
      </c>
      <c r="K62" s="83">
        <f>L62+M62+N62+O62</f>
        <v>17440.193529999997</v>
      </c>
      <c r="L62" s="79">
        <v>0</v>
      </c>
      <c r="M62" s="83">
        <f>14024.32311+3500-3500+3415.87042</f>
        <v>17440.193529999997</v>
      </c>
      <c r="N62" s="79">
        <v>0</v>
      </c>
      <c r="O62" s="79">
        <v>0</v>
      </c>
      <c r="P62" s="80"/>
      <c r="Q62" s="195"/>
      <c r="R62" s="28"/>
      <c r="S62" s="20"/>
    </row>
    <row r="63" spans="1:19" s="74" customFormat="1" ht="60.75" hidden="1" customHeight="1" x14ac:dyDescent="0.35">
      <c r="A63" s="204"/>
      <c r="B63" s="204"/>
      <c r="C63" s="204" t="s">
        <v>178</v>
      </c>
      <c r="D63" s="204" t="s">
        <v>351</v>
      </c>
      <c r="E63" s="204" t="s">
        <v>15</v>
      </c>
      <c r="F63" s="204"/>
      <c r="G63" s="204"/>
      <c r="H63" s="204" t="s">
        <v>61</v>
      </c>
      <c r="I63" s="204" t="s">
        <v>61</v>
      </c>
      <c r="J63" s="166">
        <v>2023</v>
      </c>
      <c r="K63" s="79">
        <f>K64</f>
        <v>0</v>
      </c>
      <c r="L63" s="79">
        <f>L64</f>
        <v>0</v>
      </c>
      <c r="M63" s="83">
        <v>0</v>
      </c>
      <c r="N63" s="83">
        <f t="shared" ref="N63:O63" si="14">N64</f>
        <v>0</v>
      </c>
      <c r="O63" s="83">
        <f t="shared" si="14"/>
        <v>0</v>
      </c>
      <c r="P63" s="80"/>
      <c r="Q63" s="195"/>
      <c r="R63" s="72"/>
      <c r="S63" s="73"/>
    </row>
    <row r="64" spans="1:19" s="74" customFormat="1" ht="35.25" hidden="1" customHeight="1" x14ac:dyDescent="0.35">
      <c r="A64" s="204"/>
      <c r="B64" s="204"/>
      <c r="C64" s="204"/>
      <c r="D64" s="204"/>
      <c r="E64" s="204"/>
      <c r="F64" s="204"/>
      <c r="G64" s="204"/>
      <c r="H64" s="204"/>
      <c r="I64" s="204"/>
      <c r="J64" s="166">
        <v>2023</v>
      </c>
      <c r="K64" s="83">
        <f>L64+M64+N64+O64</f>
        <v>0</v>
      </c>
      <c r="L64" s="79">
        <v>0</v>
      </c>
      <c r="M64" s="83">
        <v>0</v>
      </c>
      <c r="N64" s="79">
        <v>0</v>
      </c>
      <c r="O64" s="79">
        <v>0</v>
      </c>
      <c r="P64" s="80"/>
      <c r="Q64" s="195"/>
      <c r="R64" s="72"/>
      <c r="S64" s="73"/>
    </row>
    <row r="65" spans="1:19" s="74" customFormat="1" ht="35.25" customHeight="1" x14ac:dyDescent="0.35">
      <c r="A65" s="200"/>
      <c r="B65" s="200"/>
      <c r="C65" s="200"/>
      <c r="D65" s="200"/>
      <c r="E65" s="200"/>
      <c r="F65" s="200"/>
      <c r="G65" s="200"/>
      <c r="H65" s="200"/>
      <c r="I65" s="200"/>
      <c r="J65" s="166">
        <v>2023</v>
      </c>
      <c r="K65" s="153">
        <f t="shared" ref="K65" si="15">L65+M65+N65+O65</f>
        <v>9828.6434100000006</v>
      </c>
      <c r="L65" s="153">
        <v>0</v>
      </c>
      <c r="M65" s="153">
        <v>9828.6434100000006</v>
      </c>
      <c r="N65" s="153">
        <v>0</v>
      </c>
      <c r="O65" s="153">
        <v>0</v>
      </c>
      <c r="P65" s="80"/>
      <c r="Q65" s="196"/>
      <c r="R65" s="72"/>
      <c r="S65" s="73"/>
    </row>
    <row r="66" spans="1:19" s="74" customFormat="1" ht="51.45" x14ac:dyDescent="0.35">
      <c r="A66" s="199" t="s">
        <v>320</v>
      </c>
      <c r="B66" s="167" t="s">
        <v>174</v>
      </c>
      <c r="C66" s="167" t="s">
        <v>173</v>
      </c>
      <c r="D66" s="167" t="s">
        <v>467</v>
      </c>
      <c r="E66" s="167" t="s">
        <v>15</v>
      </c>
      <c r="F66" s="167"/>
      <c r="G66" s="167"/>
      <c r="H66" s="167" t="s">
        <v>61</v>
      </c>
      <c r="I66" s="167" t="s">
        <v>61</v>
      </c>
      <c r="J66" s="90" t="s">
        <v>355</v>
      </c>
      <c r="K66" s="150">
        <f>L66+M66+N66+O66</f>
        <v>7160</v>
      </c>
      <c r="L66" s="150">
        <v>0</v>
      </c>
      <c r="M66" s="150">
        <f>M67</f>
        <v>7160</v>
      </c>
      <c r="N66" s="150">
        <v>0</v>
      </c>
      <c r="O66" s="150">
        <v>0</v>
      </c>
      <c r="P66" s="80"/>
      <c r="Q66" s="194">
        <v>0</v>
      </c>
      <c r="R66" s="72"/>
      <c r="S66" s="73"/>
    </row>
    <row r="67" spans="1:19" s="74" customFormat="1" ht="35.25" customHeight="1" x14ac:dyDescent="0.35">
      <c r="A67" s="204"/>
      <c r="B67" s="199" t="s">
        <v>169</v>
      </c>
      <c r="C67" s="199"/>
      <c r="D67" s="199"/>
      <c r="E67" s="199"/>
      <c r="F67" s="199"/>
      <c r="G67" s="199"/>
      <c r="H67" s="199"/>
      <c r="I67" s="199"/>
      <c r="J67" s="166">
        <v>2023</v>
      </c>
      <c r="K67" s="153">
        <f t="shared" ref="K67:K71" si="16">L67+M67+N67+O67</f>
        <v>7160</v>
      </c>
      <c r="L67" s="153">
        <v>0</v>
      </c>
      <c r="M67" s="153">
        <v>7160</v>
      </c>
      <c r="N67" s="153">
        <v>0</v>
      </c>
      <c r="O67" s="153">
        <v>0</v>
      </c>
      <c r="P67" s="80"/>
      <c r="Q67" s="195"/>
      <c r="R67" s="72"/>
      <c r="S67" s="73"/>
    </row>
    <row r="68" spans="1:19" s="74" customFormat="1" ht="35.25" customHeight="1" x14ac:dyDescent="0.35">
      <c r="A68" s="200"/>
      <c r="B68" s="200"/>
      <c r="C68" s="200"/>
      <c r="D68" s="200"/>
      <c r="E68" s="200"/>
      <c r="F68" s="200"/>
      <c r="G68" s="200"/>
      <c r="H68" s="200"/>
      <c r="I68" s="200"/>
      <c r="J68" s="166" t="s">
        <v>464</v>
      </c>
      <c r="K68" s="153">
        <f>L68+M68+N68+O68</f>
        <v>6560</v>
      </c>
      <c r="L68" s="153">
        <v>0</v>
      </c>
      <c r="M68" s="153">
        <v>6560</v>
      </c>
      <c r="N68" s="153">
        <v>0</v>
      </c>
      <c r="O68" s="153">
        <v>0</v>
      </c>
      <c r="P68" s="80"/>
      <c r="Q68" s="196"/>
      <c r="R68" s="72"/>
      <c r="S68" s="73"/>
    </row>
    <row r="69" spans="1:19" s="74" customFormat="1" ht="51.45" x14ac:dyDescent="0.35">
      <c r="A69" s="295" t="s">
        <v>362</v>
      </c>
      <c r="B69" s="167" t="s">
        <v>179</v>
      </c>
      <c r="C69" s="167" t="s">
        <v>178</v>
      </c>
      <c r="D69" s="167" t="s">
        <v>365</v>
      </c>
      <c r="E69" s="167" t="s">
        <v>15</v>
      </c>
      <c r="F69" s="167"/>
      <c r="G69" s="167"/>
      <c r="H69" s="167" t="s">
        <v>61</v>
      </c>
      <c r="I69" s="167" t="s">
        <v>61</v>
      </c>
      <c r="J69" s="166" t="s">
        <v>355</v>
      </c>
      <c r="K69" s="153">
        <f>SUM(K70,K71)</f>
        <v>8605</v>
      </c>
      <c r="L69" s="153">
        <v>0</v>
      </c>
      <c r="M69" s="153">
        <f>SUM(M71,M70)</f>
        <v>8605</v>
      </c>
      <c r="N69" s="153">
        <v>0</v>
      </c>
      <c r="O69" s="153">
        <v>0</v>
      </c>
      <c r="P69" s="80"/>
      <c r="Q69" s="150">
        <v>0</v>
      </c>
      <c r="R69" s="72"/>
      <c r="S69" s="73"/>
    </row>
    <row r="70" spans="1:19" s="74" customFormat="1" ht="35.25" customHeight="1" x14ac:dyDescent="0.35">
      <c r="A70" s="296"/>
      <c r="B70" s="199" t="s">
        <v>169</v>
      </c>
      <c r="C70" s="199"/>
      <c r="D70" s="199"/>
      <c r="E70" s="199"/>
      <c r="F70" s="199"/>
      <c r="G70" s="156"/>
      <c r="H70" s="199"/>
      <c r="I70" s="199"/>
      <c r="J70" s="166">
        <v>2023</v>
      </c>
      <c r="K70" s="153">
        <f t="shared" si="16"/>
        <v>3752.5</v>
      </c>
      <c r="L70" s="153">
        <v>0</v>
      </c>
      <c r="M70" s="153">
        <v>3752.5</v>
      </c>
      <c r="N70" s="153">
        <v>0</v>
      </c>
      <c r="O70" s="153">
        <v>0</v>
      </c>
      <c r="P70" s="80"/>
      <c r="Q70" s="151"/>
      <c r="R70" s="72"/>
      <c r="S70" s="73"/>
    </row>
    <row r="71" spans="1:19" s="74" customFormat="1" ht="35.25" customHeight="1" x14ac:dyDescent="0.35">
      <c r="A71" s="297"/>
      <c r="B71" s="242"/>
      <c r="C71" s="242"/>
      <c r="D71" s="242"/>
      <c r="E71" s="242"/>
      <c r="F71" s="242"/>
      <c r="G71" s="156"/>
      <c r="H71" s="242"/>
      <c r="I71" s="242"/>
      <c r="J71" s="166" t="s">
        <v>464</v>
      </c>
      <c r="K71" s="153">
        <f t="shared" si="16"/>
        <v>4852.5</v>
      </c>
      <c r="L71" s="153">
        <v>0</v>
      </c>
      <c r="M71" s="153">
        <f>79865.937-75013.437</f>
        <v>4852.5</v>
      </c>
      <c r="N71" s="153">
        <v>0</v>
      </c>
      <c r="O71" s="153">
        <v>0</v>
      </c>
      <c r="P71" s="80"/>
      <c r="Q71" s="151"/>
      <c r="R71" s="72"/>
      <c r="S71" s="73"/>
    </row>
    <row r="72" spans="1:19" s="2" customFormat="1" ht="100.5" customHeight="1" x14ac:dyDescent="0.35">
      <c r="A72" s="199" t="s">
        <v>361</v>
      </c>
      <c r="B72" s="156" t="s">
        <v>356</v>
      </c>
      <c r="C72" s="156" t="s">
        <v>357</v>
      </c>
      <c r="D72" s="156" t="s">
        <v>355</v>
      </c>
      <c r="E72" s="156" t="s">
        <v>358</v>
      </c>
      <c r="F72" s="88" t="s">
        <v>359</v>
      </c>
      <c r="G72" s="156"/>
      <c r="H72" s="156" t="s">
        <v>252</v>
      </c>
      <c r="I72" s="156" t="s">
        <v>252</v>
      </c>
      <c r="J72" s="166" t="s">
        <v>355</v>
      </c>
      <c r="K72" s="83">
        <f>L72+M72+N72+O72</f>
        <v>95424.874450000003</v>
      </c>
      <c r="L72" s="79">
        <f>L73+L74</f>
        <v>57541.100000000006</v>
      </c>
      <c r="M72" s="79">
        <f t="shared" ref="M72:O72" si="17">M73+M74</f>
        <v>28341.287</v>
      </c>
      <c r="N72" s="79">
        <f t="shared" si="17"/>
        <v>9542.4874500000005</v>
      </c>
      <c r="O72" s="79">
        <f t="shared" si="17"/>
        <v>0</v>
      </c>
      <c r="P72" s="80"/>
      <c r="Q72" s="194">
        <v>28534.43</v>
      </c>
      <c r="R72" s="28"/>
      <c r="S72" s="20"/>
    </row>
    <row r="73" spans="1:19" s="2" customFormat="1" ht="35.25" customHeight="1" x14ac:dyDescent="0.35">
      <c r="A73" s="204"/>
      <c r="B73" s="241" t="s">
        <v>170</v>
      </c>
      <c r="C73" s="241"/>
      <c r="D73" s="241"/>
      <c r="E73" s="241"/>
      <c r="F73" s="241"/>
      <c r="G73" s="241"/>
      <c r="H73" s="241"/>
      <c r="I73" s="241"/>
      <c r="J73" s="166">
        <v>2023</v>
      </c>
      <c r="K73" s="83">
        <f>L73+M73+N73+O73</f>
        <v>28534.43</v>
      </c>
      <c r="L73" s="79">
        <v>17206.2</v>
      </c>
      <c r="M73" s="83">
        <v>8474.7870000000003</v>
      </c>
      <c r="N73" s="79">
        <v>2853.4430000000002</v>
      </c>
      <c r="O73" s="79">
        <v>0</v>
      </c>
      <c r="P73" s="80"/>
      <c r="Q73" s="195"/>
      <c r="R73" s="28"/>
      <c r="S73" s="20"/>
    </row>
    <row r="74" spans="1:19" s="2" customFormat="1" ht="35.25" customHeight="1" x14ac:dyDescent="0.35">
      <c r="A74" s="200"/>
      <c r="B74" s="242"/>
      <c r="C74" s="242"/>
      <c r="D74" s="242"/>
      <c r="E74" s="242"/>
      <c r="F74" s="242"/>
      <c r="G74" s="242"/>
      <c r="H74" s="242"/>
      <c r="I74" s="242"/>
      <c r="J74" s="166">
        <v>2024</v>
      </c>
      <c r="K74" s="83">
        <f>L74+M74+N74+O74</f>
        <v>66890.444449999995</v>
      </c>
      <c r="L74" s="79">
        <v>40334.9</v>
      </c>
      <c r="M74" s="83">
        <f>19866.46+0.04</f>
        <v>19866.5</v>
      </c>
      <c r="N74" s="83">
        <f>6689.04445</f>
        <v>6689.0444500000003</v>
      </c>
      <c r="O74" s="79">
        <v>0</v>
      </c>
      <c r="P74" s="80"/>
      <c r="Q74" s="196"/>
      <c r="R74" s="28"/>
      <c r="S74" s="20"/>
    </row>
    <row r="75" spans="1:19" s="2" customFormat="1" ht="24.75" hidden="1" customHeight="1" x14ac:dyDescent="0.35">
      <c r="A75" s="214"/>
      <c r="B75" s="220" t="s">
        <v>98</v>
      </c>
      <c r="C75" s="220"/>
      <c r="D75" s="220"/>
      <c r="E75" s="220"/>
      <c r="F75" s="220"/>
      <c r="G75" s="220"/>
      <c r="H75" s="220"/>
      <c r="I75" s="220"/>
      <c r="J75" s="166">
        <v>2020</v>
      </c>
      <c r="K75" s="79">
        <f>L75+N75+M75</f>
        <v>0</v>
      </c>
      <c r="L75" s="79">
        <v>0</v>
      </c>
      <c r="M75" s="79">
        <f>39850-23222.841-16627.159</f>
        <v>0</v>
      </c>
      <c r="N75" s="79">
        <v>0</v>
      </c>
      <c r="O75" s="79">
        <v>0</v>
      </c>
      <c r="P75" s="80"/>
      <c r="Q75" s="264"/>
      <c r="R75" s="28"/>
      <c r="S75" s="20"/>
    </row>
    <row r="76" spans="1:19" s="2" customFormat="1" ht="22.5" hidden="1" customHeight="1" x14ac:dyDescent="0.35">
      <c r="A76" s="214"/>
      <c r="B76" s="220"/>
      <c r="C76" s="220"/>
      <c r="D76" s="220"/>
      <c r="E76" s="220"/>
      <c r="F76" s="220"/>
      <c r="G76" s="220"/>
      <c r="H76" s="220"/>
      <c r="I76" s="220"/>
      <c r="J76" s="173">
        <v>2021</v>
      </c>
      <c r="K76" s="153">
        <f>L76+M76+N76</f>
        <v>0</v>
      </c>
      <c r="L76" s="169">
        <v>0</v>
      </c>
      <c r="M76" s="153">
        <v>0</v>
      </c>
      <c r="N76" s="153">
        <v>0</v>
      </c>
      <c r="O76" s="79">
        <v>0</v>
      </c>
      <c r="P76" s="173"/>
      <c r="Q76" s="264"/>
      <c r="R76" s="28"/>
      <c r="S76" s="20"/>
    </row>
    <row r="77" spans="1:19" s="2" customFormat="1" ht="39.75" hidden="1" customHeight="1" x14ac:dyDescent="0.35">
      <c r="A77" s="214"/>
      <c r="B77" s="220"/>
      <c r="C77" s="220"/>
      <c r="D77" s="220"/>
      <c r="E77" s="220"/>
      <c r="F77" s="220"/>
      <c r="G77" s="220"/>
      <c r="H77" s="220"/>
      <c r="I77" s="220"/>
      <c r="J77" s="173">
        <v>2022</v>
      </c>
      <c r="K77" s="153">
        <f>L77+M77+N77</f>
        <v>0</v>
      </c>
      <c r="L77" s="169">
        <v>0</v>
      </c>
      <c r="M77" s="153">
        <v>0</v>
      </c>
      <c r="N77" s="153">
        <v>0</v>
      </c>
      <c r="O77" s="79">
        <v>0</v>
      </c>
      <c r="P77" s="173"/>
      <c r="Q77" s="264"/>
      <c r="R77" s="28"/>
      <c r="S77" s="20"/>
    </row>
    <row r="78" spans="1:19" s="2" customFormat="1" ht="33" hidden="1" customHeight="1" x14ac:dyDescent="0.35">
      <c r="A78" s="214"/>
      <c r="B78" s="220"/>
      <c r="C78" s="220"/>
      <c r="D78" s="220"/>
      <c r="E78" s="220"/>
      <c r="F78" s="220"/>
      <c r="G78" s="220"/>
      <c r="H78" s="220"/>
      <c r="I78" s="220"/>
      <c r="J78" s="173">
        <v>2023</v>
      </c>
      <c r="K78" s="153">
        <f>L78+M78+N78</f>
        <v>0</v>
      </c>
      <c r="L78" s="153">
        <v>0</v>
      </c>
      <c r="M78" s="152">
        <v>0</v>
      </c>
      <c r="N78" s="153">
        <v>0</v>
      </c>
      <c r="O78" s="79">
        <v>0</v>
      </c>
      <c r="P78" s="173"/>
      <c r="Q78" s="264"/>
      <c r="R78" s="28"/>
      <c r="S78" s="20"/>
    </row>
    <row r="79" spans="1:19" s="2" customFormat="1" ht="33" hidden="1" customHeight="1" x14ac:dyDescent="0.35">
      <c r="A79" s="214"/>
      <c r="B79" s="220"/>
      <c r="C79" s="220"/>
      <c r="D79" s="220"/>
      <c r="E79" s="220"/>
      <c r="F79" s="220"/>
      <c r="G79" s="220"/>
      <c r="H79" s="220"/>
      <c r="I79" s="220"/>
      <c r="J79" s="173">
        <v>2023</v>
      </c>
      <c r="K79" s="153">
        <f>M79</f>
        <v>0</v>
      </c>
      <c r="L79" s="153">
        <v>0</v>
      </c>
      <c r="M79" s="153">
        <v>0</v>
      </c>
      <c r="N79" s="153">
        <v>0</v>
      </c>
      <c r="O79" s="79">
        <v>0</v>
      </c>
      <c r="P79" s="173"/>
      <c r="Q79" s="264"/>
      <c r="R79" s="28"/>
      <c r="S79" s="20"/>
    </row>
    <row r="80" spans="1:19" s="2" customFormat="1" hidden="1" x14ac:dyDescent="0.35">
      <c r="A80" s="214"/>
      <c r="B80" s="220"/>
      <c r="C80" s="220"/>
      <c r="D80" s="220"/>
      <c r="E80" s="220"/>
      <c r="F80" s="220"/>
      <c r="G80" s="220"/>
      <c r="H80" s="220"/>
      <c r="I80" s="220"/>
      <c r="J80" s="173">
        <v>2024</v>
      </c>
      <c r="K80" s="153">
        <f>L80+M80+N80</f>
        <v>0</v>
      </c>
      <c r="L80" s="153">
        <v>0</v>
      </c>
      <c r="M80" s="99">
        <v>0</v>
      </c>
      <c r="N80" s="153">
        <v>0</v>
      </c>
      <c r="O80" s="79">
        <v>0</v>
      </c>
      <c r="P80" s="173"/>
      <c r="Q80" s="264"/>
      <c r="R80" s="28"/>
      <c r="S80" s="20"/>
    </row>
    <row r="81" spans="1:24" s="2" customFormat="1" ht="22.5" customHeight="1" x14ac:dyDescent="0.35">
      <c r="A81" s="233" t="s">
        <v>99</v>
      </c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5"/>
      <c r="R81" s="28"/>
      <c r="S81" s="20"/>
    </row>
    <row r="82" spans="1:24" s="2" customFormat="1" ht="22.5" hidden="1" customHeight="1" x14ac:dyDescent="0.35">
      <c r="A82" s="236"/>
      <c r="B82" s="191" t="s">
        <v>461</v>
      </c>
      <c r="C82" s="191"/>
      <c r="D82" s="191"/>
      <c r="E82" s="191"/>
      <c r="F82" s="191"/>
      <c r="G82" s="191"/>
      <c r="H82" s="191" t="s">
        <v>100</v>
      </c>
      <c r="I82" s="191" t="s">
        <v>100</v>
      </c>
      <c r="J82" s="173">
        <v>2020</v>
      </c>
      <c r="K82" s="153">
        <f>L82+M82+N82+O82</f>
        <v>250881.16839000001</v>
      </c>
      <c r="L82" s="169">
        <v>0</v>
      </c>
      <c r="M82" s="169">
        <v>190000</v>
      </c>
      <c r="N82" s="169">
        <v>0</v>
      </c>
      <c r="O82" s="153">
        <v>60881.168389999999</v>
      </c>
      <c r="P82" s="173"/>
      <c r="Q82" s="220"/>
      <c r="R82" s="28"/>
      <c r="S82" s="55" t="e">
        <f>#REF!-L82</f>
        <v>#REF!</v>
      </c>
      <c r="T82" s="56" t="e">
        <f>#REF!-M82</f>
        <v>#REF!</v>
      </c>
      <c r="U82" s="55" t="e">
        <f>#REF!-N82</f>
        <v>#REF!</v>
      </c>
      <c r="V82" s="55" t="e">
        <f>#REF!-O82</f>
        <v>#REF!</v>
      </c>
      <c r="W82" s="55" t="e">
        <f>#REF!-P82</f>
        <v>#REF!</v>
      </c>
      <c r="X82" s="55" t="e">
        <f>#REF!-Q82</f>
        <v>#REF!</v>
      </c>
    </row>
    <row r="83" spans="1:24" s="2" customFormat="1" ht="22.5" hidden="1" customHeight="1" x14ac:dyDescent="0.35">
      <c r="A83" s="237"/>
      <c r="B83" s="192"/>
      <c r="C83" s="192"/>
      <c r="D83" s="192"/>
      <c r="E83" s="192"/>
      <c r="F83" s="192"/>
      <c r="G83" s="192"/>
      <c r="H83" s="192"/>
      <c r="I83" s="192"/>
      <c r="J83" s="173">
        <v>2021</v>
      </c>
      <c r="K83" s="91">
        <f t="shared" ref="K83:K86" si="18">L83+M83+N83+O83</f>
        <v>264205.13390000002</v>
      </c>
      <c r="L83" s="169">
        <v>0</v>
      </c>
      <c r="M83" s="91">
        <v>189685.3339</v>
      </c>
      <c r="N83" s="169">
        <v>0</v>
      </c>
      <c r="O83" s="169">
        <v>74519.8</v>
      </c>
      <c r="P83" s="173"/>
      <c r="Q83" s="220"/>
      <c r="R83" s="28"/>
      <c r="S83" s="55" t="e">
        <f>#REF!-L83</f>
        <v>#REF!</v>
      </c>
      <c r="T83" s="56" t="e">
        <f>#REF!-M83</f>
        <v>#REF!</v>
      </c>
      <c r="U83" s="55" t="e">
        <f>#REF!-N83</f>
        <v>#REF!</v>
      </c>
      <c r="V83" s="55" t="e">
        <f>#REF!-O83</f>
        <v>#REF!</v>
      </c>
      <c r="W83" s="55" t="e">
        <f>#REF!-P83</f>
        <v>#REF!</v>
      </c>
      <c r="X83" s="55" t="e">
        <f>#REF!-Q83</f>
        <v>#REF!</v>
      </c>
    </row>
    <row r="84" spans="1:24" s="2" customFormat="1" ht="22.5" customHeight="1" x14ac:dyDescent="0.35">
      <c r="A84" s="237"/>
      <c r="B84" s="192"/>
      <c r="C84" s="192"/>
      <c r="D84" s="192"/>
      <c r="E84" s="192"/>
      <c r="F84" s="192"/>
      <c r="G84" s="192"/>
      <c r="H84" s="192"/>
      <c r="I84" s="192"/>
      <c r="J84" s="173">
        <v>2022</v>
      </c>
      <c r="K84" s="153">
        <f t="shared" si="18"/>
        <v>232785.42660999997</v>
      </c>
      <c r="L84" s="169"/>
      <c r="M84" s="153">
        <v>176123.03712999998</v>
      </c>
      <c r="N84" s="169">
        <v>0</v>
      </c>
      <c r="O84" s="169">
        <v>56662.389479999998</v>
      </c>
      <c r="P84" s="173"/>
      <c r="Q84" s="220"/>
      <c r="R84" s="28"/>
      <c r="S84" s="55" t="e">
        <f>#REF!-L84</f>
        <v>#REF!</v>
      </c>
      <c r="T84" s="56" t="e">
        <f>#REF!-M84</f>
        <v>#REF!</v>
      </c>
      <c r="U84" s="55" t="e">
        <f>#REF!-N84</f>
        <v>#REF!</v>
      </c>
      <c r="V84" s="55" t="e">
        <f>#REF!-O84</f>
        <v>#REF!</v>
      </c>
      <c r="W84" s="55" t="e">
        <f>#REF!-P84</f>
        <v>#REF!</v>
      </c>
      <c r="X84" s="55" t="e">
        <f>#REF!-Q84</f>
        <v>#REF!</v>
      </c>
    </row>
    <row r="85" spans="1:24" s="2" customFormat="1" ht="22.5" customHeight="1" x14ac:dyDescent="0.35">
      <c r="A85" s="237"/>
      <c r="B85" s="192"/>
      <c r="C85" s="192"/>
      <c r="D85" s="192"/>
      <c r="E85" s="192"/>
      <c r="F85" s="192"/>
      <c r="G85" s="192"/>
      <c r="H85" s="192"/>
      <c r="I85" s="192"/>
      <c r="J85" s="173">
        <v>2023</v>
      </c>
      <c r="K85" s="153">
        <f t="shared" si="18"/>
        <v>275855.82558</v>
      </c>
      <c r="L85" s="153">
        <v>0</v>
      </c>
      <c r="M85" s="153">
        <v>196193.82558</v>
      </c>
      <c r="N85" s="152">
        <v>0</v>
      </c>
      <c r="O85" s="169">
        <v>79662</v>
      </c>
      <c r="P85" s="173"/>
      <c r="Q85" s="220"/>
      <c r="R85" s="28"/>
      <c r="S85" s="55" t="e">
        <f>#REF!-L85</f>
        <v>#REF!</v>
      </c>
      <c r="T85" s="56" t="e">
        <f>#REF!-M85</f>
        <v>#REF!</v>
      </c>
      <c r="U85" s="55" t="e">
        <f>#REF!-N85</f>
        <v>#REF!</v>
      </c>
      <c r="V85" s="55" t="e">
        <f>#REF!-O85</f>
        <v>#REF!</v>
      </c>
      <c r="W85" s="55" t="e">
        <f>#REF!-P85</f>
        <v>#REF!</v>
      </c>
      <c r="X85" s="55" t="e">
        <f>#REF!-Q85</f>
        <v>#REF!</v>
      </c>
    </row>
    <row r="86" spans="1:24" s="2" customFormat="1" ht="22.5" customHeight="1" x14ac:dyDescent="0.35">
      <c r="A86" s="237"/>
      <c r="B86" s="192"/>
      <c r="C86" s="192"/>
      <c r="D86" s="192"/>
      <c r="E86" s="192"/>
      <c r="F86" s="192"/>
      <c r="G86" s="192"/>
      <c r="H86" s="192"/>
      <c r="I86" s="192"/>
      <c r="J86" s="173">
        <v>2024</v>
      </c>
      <c r="K86" s="153">
        <f t="shared" si="18"/>
        <v>189596.79999999999</v>
      </c>
      <c r="L86" s="169">
        <v>0</v>
      </c>
      <c r="M86" s="169">
        <v>180116.8</v>
      </c>
      <c r="N86" s="169">
        <v>0</v>
      </c>
      <c r="O86" s="169">
        <v>9480</v>
      </c>
      <c r="P86" s="173"/>
      <c r="Q86" s="220"/>
      <c r="R86" s="28"/>
      <c r="S86" s="55" t="e">
        <f>#REF!-L86</f>
        <v>#REF!</v>
      </c>
      <c r="T86" s="56" t="e">
        <f>#REF!-M86</f>
        <v>#REF!</v>
      </c>
      <c r="U86" s="55" t="e">
        <f>#REF!-N86</f>
        <v>#REF!</v>
      </c>
      <c r="V86" s="55" t="e">
        <f>#REF!-O86</f>
        <v>#REF!</v>
      </c>
      <c r="W86" s="55" t="e">
        <f>#REF!-P86</f>
        <v>#REF!</v>
      </c>
      <c r="X86" s="55" t="e">
        <f>#REF!-Q86</f>
        <v>#REF!</v>
      </c>
    </row>
    <row r="87" spans="1:24" s="2" customFormat="1" ht="22.5" customHeight="1" x14ac:dyDescent="0.35">
      <c r="A87" s="237"/>
      <c r="B87" s="192"/>
      <c r="C87" s="192"/>
      <c r="D87" s="192"/>
      <c r="E87" s="192"/>
      <c r="F87" s="192"/>
      <c r="G87" s="192"/>
      <c r="H87" s="192"/>
      <c r="I87" s="192"/>
      <c r="J87" s="173">
        <v>2025</v>
      </c>
      <c r="K87" s="153">
        <f>L87+M87+N87+O87</f>
        <v>225741.9</v>
      </c>
      <c r="L87" s="169">
        <v>0</v>
      </c>
      <c r="M87" s="169">
        <v>214454.8</v>
      </c>
      <c r="N87" s="169">
        <v>0</v>
      </c>
      <c r="O87" s="169">
        <v>11287.1</v>
      </c>
      <c r="P87" s="173"/>
      <c r="Q87" s="220"/>
      <c r="R87" s="28"/>
      <c r="S87" s="55" t="e">
        <f>#REF!-L87</f>
        <v>#REF!</v>
      </c>
      <c r="T87" s="56"/>
      <c r="U87" s="55" t="e">
        <f>#REF!-N87</f>
        <v>#REF!</v>
      </c>
      <c r="V87" s="55" t="e">
        <f>#REF!-O87</f>
        <v>#REF!</v>
      </c>
      <c r="W87" s="55"/>
      <c r="X87" s="55"/>
    </row>
    <row r="88" spans="1:24" s="2" customFormat="1" ht="22.5" customHeight="1" x14ac:dyDescent="0.35">
      <c r="A88" s="237"/>
      <c r="B88" s="192"/>
      <c r="C88" s="192"/>
      <c r="D88" s="192"/>
      <c r="E88" s="192"/>
      <c r="F88" s="192"/>
      <c r="G88" s="192"/>
      <c r="H88" s="192"/>
      <c r="I88" s="192"/>
      <c r="J88" s="173">
        <v>2026</v>
      </c>
      <c r="K88" s="152">
        <f t="shared" ref="K88:K92" si="19">L88+M88+N88+O88</f>
        <v>227235.8</v>
      </c>
      <c r="L88" s="169">
        <v>0</v>
      </c>
      <c r="M88" s="169">
        <v>215874</v>
      </c>
      <c r="N88" s="169">
        <v>0</v>
      </c>
      <c r="O88" s="169">
        <v>11361.8</v>
      </c>
      <c r="P88" s="173"/>
      <c r="Q88" s="220"/>
      <c r="R88" s="28"/>
      <c r="S88" s="55"/>
      <c r="T88" s="56"/>
      <c r="U88" s="55"/>
      <c r="V88" s="55"/>
      <c r="W88" s="55"/>
      <c r="X88" s="55"/>
    </row>
    <row r="89" spans="1:24" s="2" customFormat="1" ht="22.5" customHeight="1" x14ac:dyDescent="0.35">
      <c r="A89" s="237"/>
      <c r="B89" s="192"/>
      <c r="C89" s="192"/>
      <c r="D89" s="192"/>
      <c r="E89" s="192"/>
      <c r="F89" s="192"/>
      <c r="G89" s="192"/>
      <c r="H89" s="192"/>
      <c r="I89" s="192"/>
      <c r="J89" s="173">
        <v>2027</v>
      </c>
      <c r="K89" s="152">
        <f t="shared" si="19"/>
        <v>227235.8</v>
      </c>
      <c r="L89" s="169">
        <v>0</v>
      </c>
      <c r="M89" s="169">
        <v>215874</v>
      </c>
      <c r="N89" s="169">
        <v>0</v>
      </c>
      <c r="O89" s="169">
        <v>11361.8</v>
      </c>
      <c r="P89" s="173"/>
      <c r="Q89" s="220"/>
      <c r="R89" s="28"/>
      <c r="S89" s="55"/>
      <c r="T89" s="56"/>
      <c r="U89" s="55"/>
      <c r="V89" s="55"/>
      <c r="W89" s="55"/>
      <c r="X89" s="55"/>
    </row>
    <row r="90" spans="1:24" s="2" customFormat="1" ht="22.5" customHeight="1" x14ac:dyDescent="0.35">
      <c r="A90" s="237"/>
      <c r="B90" s="192"/>
      <c r="C90" s="192"/>
      <c r="D90" s="192"/>
      <c r="E90" s="192"/>
      <c r="F90" s="192"/>
      <c r="G90" s="192"/>
      <c r="H90" s="192"/>
      <c r="I90" s="192"/>
      <c r="J90" s="173">
        <v>2028</v>
      </c>
      <c r="K90" s="152">
        <f t="shared" si="19"/>
        <v>227235.8</v>
      </c>
      <c r="L90" s="169">
        <v>0</v>
      </c>
      <c r="M90" s="169">
        <v>215874</v>
      </c>
      <c r="N90" s="169">
        <v>0</v>
      </c>
      <c r="O90" s="169">
        <v>11361.8</v>
      </c>
      <c r="P90" s="173"/>
      <c r="Q90" s="220"/>
      <c r="R90" s="28"/>
      <c r="S90" s="55"/>
      <c r="T90" s="56"/>
      <c r="U90" s="55"/>
      <c r="V90" s="55"/>
      <c r="W90" s="55"/>
      <c r="X90" s="55"/>
    </row>
    <row r="91" spans="1:24" s="2" customFormat="1" ht="22.5" customHeight="1" x14ac:dyDescent="0.35">
      <c r="A91" s="237"/>
      <c r="B91" s="192"/>
      <c r="C91" s="192"/>
      <c r="D91" s="192"/>
      <c r="E91" s="192"/>
      <c r="F91" s="192"/>
      <c r="G91" s="192"/>
      <c r="H91" s="192"/>
      <c r="I91" s="192"/>
      <c r="J91" s="173">
        <v>2029</v>
      </c>
      <c r="K91" s="152">
        <f t="shared" si="19"/>
        <v>227235.8</v>
      </c>
      <c r="L91" s="169">
        <v>0</v>
      </c>
      <c r="M91" s="169">
        <v>215874</v>
      </c>
      <c r="N91" s="169">
        <v>0</v>
      </c>
      <c r="O91" s="169">
        <v>11361.8</v>
      </c>
      <c r="P91" s="173"/>
      <c r="Q91" s="220"/>
      <c r="R91" s="28"/>
      <c r="S91" s="55"/>
      <c r="T91" s="56"/>
      <c r="U91" s="55"/>
      <c r="V91" s="55"/>
      <c r="W91" s="55"/>
      <c r="X91" s="55"/>
    </row>
    <row r="92" spans="1:24" s="2" customFormat="1" ht="22.5" customHeight="1" x14ac:dyDescent="0.35">
      <c r="A92" s="238"/>
      <c r="B92" s="212"/>
      <c r="C92" s="212"/>
      <c r="D92" s="212"/>
      <c r="E92" s="212"/>
      <c r="F92" s="212"/>
      <c r="G92" s="212"/>
      <c r="H92" s="212"/>
      <c r="I92" s="212"/>
      <c r="J92" s="173">
        <v>2030</v>
      </c>
      <c r="K92" s="152">
        <f t="shared" si="19"/>
        <v>227235.8</v>
      </c>
      <c r="L92" s="169">
        <v>0</v>
      </c>
      <c r="M92" s="169">
        <v>215874</v>
      </c>
      <c r="N92" s="169">
        <v>0</v>
      </c>
      <c r="O92" s="169">
        <v>11361.8</v>
      </c>
      <c r="P92" s="173"/>
      <c r="Q92" s="220"/>
      <c r="R92" s="28"/>
      <c r="S92" s="55"/>
      <c r="T92" s="56"/>
      <c r="U92" s="55"/>
      <c r="V92" s="55"/>
      <c r="W92" s="55"/>
      <c r="X92" s="55"/>
    </row>
    <row r="93" spans="1:24" s="2" customFormat="1" ht="22.5" hidden="1" customHeight="1" x14ac:dyDescent="0.35">
      <c r="A93" s="191"/>
      <c r="B93" s="243" t="s">
        <v>399</v>
      </c>
      <c r="C93" s="250"/>
      <c r="D93" s="251"/>
      <c r="E93" s="251"/>
      <c r="F93" s="251"/>
      <c r="G93" s="251"/>
      <c r="H93" s="251"/>
      <c r="I93" s="252"/>
      <c r="J93" s="92">
        <v>2020</v>
      </c>
      <c r="K93" s="93" t="e">
        <f>#REF!</f>
        <v>#REF!</v>
      </c>
      <c r="L93" s="93" t="e">
        <f>#REF!</f>
        <v>#REF!</v>
      </c>
      <c r="M93" s="93" t="e">
        <f>#REF!</f>
        <v>#REF!</v>
      </c>
      <c r="N93" s="93" t="e">
        <f>#REF!</f>
        <v>#REF!</v>
      </c>
      <c r="O93" s="93" t="e">
        <f>#REF!</f>
        <v>#REF!</v>
      </c>
      <c r="P93" s="92"/>
      <c r="Q93" s="243"/>
      <c r="R93" s="28"/>
      <c r="S93" s="20"/>
    </row>
    <row r="94" spans="1:24" s="2" customFormat="1" ht="22.5" hidden="1" customHeight="1" x14ac:dyDescent="0.35">
      <c r="A94" s="192"/>
      <c r="B94" s="244"/>
      <c r="C94" s="253"/>
      <c r="D94" s="254"/>
      <c r="E94" s="254"/>
      <c r="F94" s="254"/>
      <c r="G94" s="254"/>
      <c r="H94" s="254"/>
      <c r="I94" s="255"/>
      <c r="J94" s="92">
        <v>2021</v>
      </c>
      <c r="K94" s="93" t="e">
        <f>#REF!</f>
        <v>#REF!</v>
      </c>
      <c r="L94" s="93" t="e">
        <f>#REF!</f>
        <v>#REF!</v>
      </c>
      <c r="M94" s="93" t="e">
        <f>#REF!</f>
        <v>#REF!</v>
      </c>
      <c r="N94" s="93" t="e">
        <f>#REF!</f>
        <v>#REF!</v>
      </c>
      <c r="O94" s="93" t="e">
        <f>#REF!</f>
        <v>#REF!</v>
      </c>
      <c r="P94" s="92"/>
      <c r="Q94" s="244"/>
      <c r="R94" s="28"/>
      <c r="S94" s="20"/>
    </row>
    <row r="95" spans="1:24" s="2" customFormat="1" ht="22.5" customHeight="1" x14ac:dyDescent="0.35">
      <c r="A95" s="192"/>
      <c r="B95" s="244"/>
      <c r="C95" s="253"/>
      <c r="D95" s="254"/>
      <c r="E95" s="254"/>
      <c r="F95" s="254"/>
      <c r="G95" s="254"/>
      <c r="H95" s="254"/>
      <c r="I95" s="255"/>
      <c r="J95" s="92">
        <v>2022</v>
      </c>
      <c r="K95" s="93">
        <f>L95+M95+N95+O95</f>
        <v>354915.21532999998</v>
      </c>
      <c r="L95" s="93">
        <f>L84+L55+L52+L33+L60+L62</f>
        <v>53152.800000000003</v>
      </c>
      <c r="M95" s="93">
        <f>M84+M55+M52+M33+M60+M62</f>
        <v>241896.97259999998</v>
      </c>
      <c r="N95" s="93">
        <f>N84+N55+N52+N33+N60+N62</f>
        <v>3203.0532499999999</v>
      </c>
      <c r="O95" s="93">
        <f>O84+O55+O52+O33+O60+O62</f>
        <v>56662.389479999998</v>
      </c>
      <c r="P95" s="93">
        <f>P84+P55+P52+P33+P60+P62</f>
        <v>0</v>
      </c>
      <c r="Q95" s="244"/>
      <c r="R95" s="28"/>
      <c r="S95" s="20"/>
    </row>
    <row r="96" spans="1:24" s="2" customFormat="1" ht="22.5" customHeight="1" x14ac:dyDescent="0.35">
      <c r="A96" s="192"/>
      <c r="B96" s="244"/>
      <c r="C96" s="253"/>
      <c r="D96" s="254"/>
      <c r="E96" s="254"/>
      <c r="F96" s="254"/>
      <c r="G96" s="254"/>
      <c r="H96" s="254"/>
      <c r="I96" s="255"/>
      <c r="J96" s="92">
        <v>2023</v>
      </c>
      <c r="K96" s="93">
        <f t="shared" ref="K96:K97" si="20">L96+M96+N96+O96</f>
        <v>382079.48505000002</v>
      </c>
      <c r="L96" s="93">
        <f>L56+L79+L85+L58+L64+L73+L65+L67+L70+L53</f>
        <v>17206.2</v>
      </c>
      <c r="M96" s="93">
        <f t="shared" ref="M96:O96" si="21">M56+M79+M85+M58+M64+M73+M65+M67+M70+M53</f>
        <v>277533.62845999998</v>
      </c>
      <c r="N96" s="93">
        <f t="shared" si="21"/>
        <v>7677.6565900000005</v>
      </c>
      <c r="O96" s="93">
        <f t="shared" si="21"/>
        <v>79662</v>
      </c>
      <c r="P96" s="93">
        <f>P56+P79+P85+P58+P64+P73</f>
        <v>0</v>
      </c>
      <c r="Q96" s="244"/>
      <c r="R96" s="28"/>
      <c r="S96" s="20"/>
    </row>
    <row r="97" spans="1:19" s="2" customFormat="1" ht="22.5" customHeight="1" x14ac:dyDescent="0.35">
      <c r="A97" s="192"/>
      <c r="B97" s="244"/>
      <c r="C97" s="253"/>
      <c r="D97" s="254"/>
      <c r="E97" s="254"/>
      <c r="F97" s="254"/>
      <c r="G97" s="254"/>
      <c r="H97" s="254"/>
      <c r="I97" s="255"/>
      <c r="J97" s="92">
        <v>2024</v>
      </c>
      <c r="K97" s="93">
        <f t="shared" si="20"/>
        <v>267899.74445</v>
      </c>
      <c r="L97" s="93">
        <f>L80+L86+L74+L71+L68</f>
        <v>40334.9</v>
      </c>
      <c r="M97" s="93">
        <f t="shared" ref="M97:P97" si="22">M80+M86+M74+M71+M68</f>
        <v>211395.8</v>
      </c>
      <c r="N97" s="93">
        <f t="shared" si="22"/>
        <v>6689.0444500000003</v>
      </c>
      <c r="O97" s="93">
        <f t="shared" si="22"/>
        <v>9480</v>
      </c>
      <c r="P97" s="93">
        <f t="shared" si="22"/>
        <v>0</v>
      </c>
      <c r="Q97" s="244"/>
      <c r="R97" s="28"/>
      <c r="S97" s="20"/>
    </row>
    <row r="98" spans="1:19" s="2" customFormat="1" ht="22.5" customHeight="1" x14ac:dyDescent="0.35">
      <c r="A98" s="192"/>
      <c r="B98" s="244"/>
      <c r="C98" s="253"/>
      <c r="D98" s="254"/>
      <c r="E98" s="254"/>
      <c r="F98" s="254"/>
      <c r="G98" s="254"/>
      <c r="H98" s="254"/>
      <c r="I98" s="255"/>
      <c r="J98" s="92">
        <v>2025</v>
      </c>
      <c r="K98" s="93">
        <f>L98+M98+N98+O98</f>
        <v>225741.9</v>
      </c>
      <c r="L98" s="93">
        <f>L87</f>
        <v>0</v>
      </c>
      <c r="M98" s="93">
        <f t="shared" ref="M98:P98" si="23">M87</f>
        <v>214454.8</v>
      </c>
      <c r="N98" s="93">
        <f t="shared" si="23"/>
        <v>0</v>
      </c>
      <c r="O98" s="93">
        <f t="shared" si="23"/>
        <v>11287.1</v>
      </c>
      <c r="P98" s="93">
        <f t="shared" si="23"/>
        <v>0</v>
      </c>
      <c r="Q98" s="244"/>
      <c r="R98" s="28"/>
      <c r="S98" s="20"/>
    </row>
    <row r="99" spans="1:19" s="2" customFormat="1" ht="22.5" customHeight="1" x14ac:dyDescent="0.35">
      <c r="A99" s="192"/>
      <c r="B99" s="244"/>
      <c r="C99" s="253"/>
      <c r="D99" s="254"/>
      <c r="E99" s="254"/>
      <c r="F99" s="254"/>
      <c r="G99" s="254"/>
      <c r="H99" s="254"/>
      <c r="I99" s="255"/>
      <c r="J99" s="92">
        <v>2026</v>
      </c>
      <c r="K99" s="93">
        <f t="shared" ref="K99:K103" si="24">L99+M99+N99+O99</f>
        <v>227235.8</v>
      </c>
      <c r="L99" s="93">
        <f t="shared" ref="L99:O99" si="25">L88</f>
        <v>0</v>
      </c>
      <c r="M99" s="93">
        <f t="shared" si="25"/>
        <v>215874</v>
      </c>
      <c r="N99" s="93">
        <f t="shared" si="25"/>
        <v>0</v>
      </c>
      <c r="O99" s="93">
        <f t="shared" si="25"/>
        <v>11361.8</v>
      </c>
      <c r="P99" s="92"/>
      <c r="Q99" s="244"/>
      <c r="R99" s="28"/>
      <c r="S99" s="20"/>
    </row>
    <row r="100" spans="1:19" s="2" customFormat="1" ht="22.5" customHeight="1" x14ac:dyDescent="0.35">
      <c r="A100" s="192"/>
      <c r="B100" s="244"/>
      <c r="C100" s="253"/>
      <c r="D100" s="254"/>
      <c r="E100" s="254"/>
      <c r="F100" s="254"/>
      <c r="G100" s="254"/>
      <c r="H100" s="254"/>
      <c r="I100" s="255"/>
      <c r="J100" s="92">
        <v>2027</v>
      </c>
      <c r="K100" s="93">
        <f t="shared" si="24"/>
        <v>227235.8</v>
      </c>
      <c r="L100" s="93">
        <f t="shared" ref="L100:O100" si="26">L89</f>
        <v>0</v>
      </c>
      <c r="M100" s="93">
        <f t="shared" si="26"/>
        <v>215874</v>
      </c>
      <c r="N100" s="93">
        <f t="shared" si="26"/>
        <v>0</v>
      </c>
      <c r="O100" s="93">
        <f t="shared" si="26"/>
        <v>11361.8</v>
      </c>
      <c r="P100" s="92"/>
      <c r="Q100" s="244"/>
      <c r="R100" s="28"/>
      <c r="S100" s="20"/>
    </row>
    <row r="101" spans="1:19" s="2" customFormat="1" ht="22.5" customHeight="1" x14ac:dyDescent="0.35">
      <c r="A101" s="192"/>
      <c r="B101" s="244"/>
      <c r="C101" s="253"/>
      <c r="D101" s="254"/>
      <c r="E101" s="254"/>
      <c r="F101" s="254"/>
      <c r="G101" s="254"/>
      <c r="H101" s="254"/>
      <c r="I101" s="255"/>
      <c r="J101" s="92">
        <v>2028</v>
      </c>
      <c r="K101" s="93">
        <f t="shared" si="24"/>
        <v>227235.8</v>
      </c>
      <c r="L101" s="93">
        <f t="shared" ref="L101:O101" si="27">L90</f>
        <v>0</v>
      </c>
      <c r="M101" s="93">
        <f t="shared" si="27"/>
        <v>215874</v>
      </c>
      <c r="N101" s="93">
        <f t="shared" si="27"/>
        <v>0</v>
      </c>
      <c r="O101" s="93">
        <f t="shared" si="27"/>
        <v>11361.8</v>
      </c>
      <c r="P101" s="92"/>
      <c r="Q101" s="244"/>
      <c r="R101" s="28"/>
      <c r="S101" s="20"/>
    </row>
    <row r="102" spans="1:19" s="2" customFormat="1" ht="22.5" customHeight="1" x14ac:dyDescent="0.35">
      <c r="A102" s="192"/>
      <c r="B102" s="244"/>
      <c r="C102" s="253"/>
      <c r="D102" s="254"/>
      <c r="E102" s="254"/>
      <c r="F102" s="254"/>
      <c r="G102" s="254"/>
      <c r="H102" s="254"/>
      <c r="I102" s="255"/>
      <c r="J102" s="92">
        <v>2029</v>
      </c>
      <c r="K102" s="93">
        <f t="shared" si="24"/>
        <v>227235.8</v>
      </c>
      <c r="L102" s="93">
        <f t="shared" ref="L102:O102" si="28">L91</f>
        <v>0</v>
      </c>
      <c r="M102" s="93">
        <f t="shared" si="28"/>
        <v>215874</v>
      </c>
      <c r="N102" s="93">
        <f t="shared" si="28"/>
        <v>0</v>
      </c>
      <c r="O102" s="93">
        <f t="shared" si="28"/>
        <v>11361.8</v>
      </c>
      <c r="P102" s="92"/>
      <c r="Q102" s="244"/>
      <c r="R102" s="28"/>
      <c r="S102" s="20"/>
    </row>
    <row r="103" spans="1:19" s="2" customFormat="1" ht="22.5" customHeight="1" x14ac:dyDescent="0.35">
      <c r="A103" s="212"/>
      <c r="B103" s="245"/>
      <c r="C103" s="256"/>
      <c r="D103" s="257"/>
      <c r="E103" s="257"/>
      <c r="F103" s="257"/>
      <c r="G103" s="257"/>
      <c r="H103" s="257"/>
      <c r="I103" s="258"/>
      <c r="J103" s="92">
        <v>2030</v>
      </c>
      <c r="K103" s="93">
        <f t="shared" si="24"/>
        <v>227235.8</v>
      </c>
      <c r="L103" s="93">
        <f t="shared" ref="L103:O103" si="29">L92</f>
        <v>0</v>
      </c>
      <c r="M103" s="93">
        <f t="shared" si="29"/>
        <v>215874</v>
      </c>
      <c r="N103" s="93">
        <f t="shared" si="29"/>
        <v>0</v>
      </c>
      <c r="O103" s="93">
        <f t="shared" si="29"/>
        <v>11361.8</v>
      </c>
      <c r="P103" s="92"/>
      <c r="Q103" s="245"/>
      <c r="R103" s="28"/>
      <c r="S103" s="20"/>
    </row>
    <row r="104" spans="1:19" s="2" customFormat="1" ht="22.5" customHeight="1" x14ac:dyDescent="0.35">
      <c r="A104" s="246" t="s">
        <v>400</v>
      </c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8"/>
      <c r="R104" s="28"/>
      <c r="S104" s="20"/>
    </row>
    <row r="105" spans="1:19" s="2" customFormat="1" ht="22.5" hidden="1" customHeight="1" x14ac:dyDescent="0.35">
      <c r="A105" s="243">
        <v>3</v>
      </c>
      <c r="B105" s="243" t="s">
        <v>68</v>
      </c>
      <c r="C105" s="250"/>
      <c r="D105" s="251"/>
      <c r="E105" s="251"/>
      <c r="F105" s="251"/>
      <c r="G105" s="251"/>
      <c r="H105" s="251"/>
      <c r="I105" s="252"/>
      <c r="J105" s="184">
        <v>2020</v>
      </c>
      <c r="K105" s="94" t="e">
        <f>L105+M105+N105+O105</f>
        <v>#REF!</v>
      </c>
      <c r="L105" s="95" t="e">
        <f>L112+#REF!</f>
        <v>#REF!</v>
      </c>
      <c r="M105" s="95" t="e">
        <f>M112+#REF!</f>
        <v>#REF!</v>
      </c>
      <c r="N105" s="95" t="e">
        <f>N112+#REF!</f>
        <v>#REF!</v>
      </c>
      <c r="O105" s="95" t="e">
        <f>O112+#REF!</f>
        <v>#REF!</v>
      </c>
      <c r="P105" s="95" t="e">
        <f>P111+#REF!</f>
        <v>#REF!</v>
      </c>
      <c r="Q105" s="243"/>
      <c r="R105" s="28"/>
      <c r="S105" s="20"/>
    </row>
    <row r="106" spans="1:19" s="2" customFormat="1" ht="22.5" hidden="1" customHeight="1" x14ac:dyDescent="0.35">
      <c r="A106" s="244"/>
      <c r="B106" s="244"/>
      <c r="C106" s="253"/>
      <c r="D106" s="254"/>
      <c r="E106" s="254"/>
      <c r="F106" s="254"/>
      <c r="G106" s="254"/>
      <c r="H106" s="254"/>
      <c r="I106" s="255"/>
      <c r="J106" s="184">
        <v>2021</v>
      </c>
      <c r="K106" s="94" t="e">
        <f t="shared" ref="K106:K109" si="30">L106+M106+N106+O106</f>
        <v>#REF!</v>
      </c>
      <c r="L106" s="95" t="e">
        <f>L113+#REF!</f>
        <v>#REF!</v>
      </c>
      <c r="M106" s="95" t="e">
        <f>M113+#REF!</f>
        <v>#REF!</v>
      </c>
      <c r="N106" s="95" t="e">
        <f>N113+#REF!</f>
        <v>#REF!</v>
      </c>
      <c r="O106" s="95" t="e">
        <f>O113+#REF!</f>
        <v>#REF!</v>
      </c>
      <c r="P106" s="184"/>
      <c r="Q106" s="244"/>
      <c r="R106" s="28"/>
      <c r="S106" s="20"/>
    </row>
    <row r="107" spans="1:19" s="2" customFormat="1" ht="22.5" hidden="1" customHeight="1" x14ac:dyDescent="0.35">
      <c r="A107" s="244"/>
      <c r="B107" s="244"/>
      <c r="C107" s="253"/>
      <c r="D107" s="254"/>
      <c r="E107" s="254"/>
      <c r="F107" s="254"/>
      <c r="G107" s="254"/>
      <c r="H107" s="254"/>
      <c r="I107" s="255"/>
      <c r="J107" s="184">
        <v>2022</v>
      </c>
      <c r="K107" s="95">
        <f t="shared" si="30"/>
        <v>258544.1029</v>
      </c>
      <c r="L107" s="95">
        <f>L114</f>
        <v>31224.5</v>
      </c>
      <c r="M107" s="95">
        <f t="shared" ref="M107:O107" si="31">M114</f>
        <v>209792.00289999999</v>
      </c>
      <c r="N107" s="95">
        <f t="shared" si="31"/>
        <v>17527.599999999999</v>
      </c>
      <c r="O107" s="95">
        <f t="shared" si="31"/>
        <v>0</v>
      </c>
      <c r="P107" s="95">
        <f t="shared" ref="P107" si="32">P113</f>
        <v>0</v>
      </c>
      <c r="Q107" s="244"/>
      <c r="R107" s="28"/>
      <c r="S107" s="20"/>
    </row>
    <row r="108" spans="1:19" s="2" customFormat="1" ht="22.5" hidden="1" customHeight="1" x14ac:dyDescent="0.35">
      <c r="A108" s="244"/>
      <c r="B108" s="244"/>
      <c r="C108" s="253"/>
      <c r="D108" s="254"/>
      <c r="E108" s="254"/>
      <c r="F108" s="254"/>
      <c r="G108" s="254"/>
      <c r="H108" s="254"/>
      <c r="I108" s="255"/>
      <c r="J108" s="184">
        <v>2023</v>
      </c>
      <c r="K108" s="95" t="e">
        <f t="shared" si="30"/>
        <v>#REF!</v>
      </c>
      <c r="L108" s="95" t="e">
        <f>#REF!</f>
        <v>#REF!</v>
      </c>
      <c r="M108" s="95" t="e">
        <f>#REF!</f>
        <v>#REF!</v>
      </c>
      <c r="N108" s="95" t="e">
        <f>#REF!</f>
        <v>#REF!</v>
      </c>
      <c r="O108" s="95" t="e">
        <f>#REF!</f>
        <v>#REF!</v>
      </c>
      <c r="P108" s="184"/>
      <c r="Q108" s="244"/>
      <c r="R108" s="28"/>
      <c r="S108" s="20"/>
    </row>
    <row r="109" spans="1:19" s="2" customFormat="1" ht="22.5" hidden="1" customHeight="1" x14ac:dyDescent="0.35">
      <c r="A109" s="245"/>
      <c r="B109" s="245"/>
      <c r="C109" s="256"/>
      <c r="D109" s="257"/>
      <c r="E109" s="257"/>
      <c r="F109" s="257"/>
      <c r="G109" s="257"/>
      <c r="H109" s="257"/>
      <c r="I109" s="258"/>
      <c r="J109" s="184">
        <v>2024</v>
      </c>
      <c r="K109" s="95" t="e">
        <f t="shared" si="30"/>
        <v>#REF!</v>
      </c>
      <c r="L109" s="95" t="e">
        <f>#REF!</f>
        <v>#REF!</v>
      </c>
      <c r="M109" s="95" t="e">
        <f>#REF!</f>
        <v>#REF!</v>
      </c>
      <c r="N109" s="95" t="e">
        <f>#REF!</f>
        <v>#REF!</v>
      </c>
      <c r="O109" s="95" t="e">
        <f>#REF!</f>
        <v>#REF!</v>
      </c>
      <c r="P109" s="184"/>
      <c r="Q109" s="245"/>
      <c r="R109" s="28"/>
      <c r="S109" s="20"/>
    </row>
    <row r="110" spans="1:19" s="2" customFormat="1" ht="22.5" customHeight="1" x14ac:dyDescent="0.35">
      <c r="A110" s="233" t="s">
        <v>237</v>
      </c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5"/>
      <c r="R110" s="28"/>
      <c r="S110" s="20"/>
    </row>
    <row r="111" spans="1:19" s="2" customFormat="1" ht="78" customHeight="1" x14ac:dyDescent="0.35">
      <c r="A111" s="199" t="s">
        <v>121</v>
      </c>
      <c r="B111" s="173" t="s">
        <v>116</v>
      </c>
      <c r="C111" s="173" t="s">
        <v>184</v>
      </c>
      <c r="D111" s="173" t="s">
        <v>364</v>
      </c>
      <c r="E111" s="173" t="s">
        <v>70</v>
      </c>
      <c r="F111" s="173" t="s">
        <v>71</v>
      </c>
      <c r="G111" s="173" t="s">
        <v>388</v>
      </c>
      <c r="H111" s="173" t="s">
        <v>72</v>
      </c>
      <c r="I111" s="173" t="s">
        <v>72</v>
      </c>
      <c r="J111" s="173" t="s">
        <v>146</v>
      </c>
      <c r="K111" s="96">
        <f>K114+K115</f>
        <v>260283.89290000001</v>
      </c>
      <c r="L111" s="96">
        <f t="shared" ref="L111:O111" si="33">L114+L115</f>
        <v>31224.5</v>
      </c>
      <c r="M111" s="96">
        <f t="shared" si="33"/>
        <v>211392.61289999998</v>
      </c>
      <c r="N111" s="96">
        <f t="shared" si="33"/>
        <v>17666.78</v>
      </c>
      <c r="O111" s="96">
        <f t="shared" si="33"/>
        <v>0</v>
      </c>
      <c r="P111" s="180"/>
      <c r="Q111" s="194">
        <f>12633.73533+305451.83673+250151.973</f>
        <v>568237.54505999992</v>
      </c>
      <c r="R111" s="28"/>
      <c r="S111" s="20"/>
    </row>
    <row r="112" spans="1:19" s="2" customFormat="1" ht="23.25" hidden="1" customHeight="1" x14ac:dyDescent="0.35">
      <c r="A112" s="204"/>
      <c r="B112" s="191" t="s">
        <v>183</v>
      </c>
      <c r="C112" s="191"/>
      <c r="D112" s="191"/>
      <c r="E112" s="191"/>
      <c r="F112" s="191"/>
      <c r="G112" s="191"/>
      <c r="H112" s="191"/>
      <c r="I112" s="191"/>
      <c r="J112" s="183">
        <v>2020</v>
      </c>
      <c r="K112" s="97">
        <f>L112+M112+N112+O112</f>
        <v>146814.60407999999</v>
      </c>
      <c r="L112" s="97">
        <v>69781</v>
      </c>
      <c r="M112" s="97">
        <v>72629.204079999996</v>
      </c>
      <c r="N112" s="97">
        <v>4404.3999999999996</v>
      </c>
      <c r="O112" s="97">
        <v>0</v>
      </c>
      <c r="P112" s="180"/>
      <c r="Q112" s="195"/>
      <c r="R112" s="28"/>
      <c r="S112" s="20"/>
    </row>
    <row r="113" spans="1:19" s="2" customFormat="1" ht="23.25" hidden="1" customHeight="1" x14ac:dyDescent="0.35">
      <c r="A113" s="204"/>
      <c r="B113" s="192"/>
      <c r="C113" s="192"/>
      <c r="D113" s="192"/>
      <c r="E113" s="192"/>
      <c r="F113" s="192"/>
      <c r="G113" s="192"/>
      <c r="H113" s="192"/>
      <c r="I113" s="192"/>
      <c r="J113" s="180">
        <v>2021</v>
      </c>
      <c r="K113" s="97">
        <f t="shared" ref="K113:K114" si="34">L113+M113+N113+O113</f>
        <v>314898.73673</v>
      </c>
      <c r="L113" s="97">
        <v>149671.4</v>
      </c>
      <c r="M113" s="97">
        <v>155780.43672999999</v>
      </c>
      <c r="N113" s="97">
        <v>9446.9</v>
      </c>
      <c r="O113" s="97">
        <v>0</v>
      </c>
      <c r="P113" s="180"/>
      <c r="Q113" s="195"/>
      <c r="R113" s="28"/>
      <c r="S113" s="20"/>
    </row>
    <row r="114" spans="1:19" s="2" customFormat="1" ht="23.25" customHeight="1" x14ac:dyDescent="0.35">
      <c r="A114" s="204"/>
      <c r="B114" s="192"/>
      <c r="C114" s="192"/>
      <c r="D114" s="192"/>
      <c r="E114" s="192"/>
      <c r="F114" s="192"/>
      <c r="G114" s="192"/>
      <c r="H114" s="192"/>
      <c r="I114" s="192"/>
      <c r="J114" s="180">
        <v>2022</v>
      </c>
      <c r="K114" s="96">
        <f t="shared" si="34"/>
        <v>258544.1029</v>
      </c>
      <c r="L114" s="97">
        <v>31224.5</v>
      </c>
      <c r="M114" s="96">
        <f>30000+65535+19044.3229+95212.68</f>
        <v>209792.00289999999</v>
      </c>
      <c r="N114" s="97">
        <f>1893.5+15634.1</f>
        <v>17527.599999999999</v>
      </c>
      <c r="O114" s="97">
        <v>0</v>
      </c>
      <c r="P114" s="180"/>
      <c r="Q114" s="195"/>
      <c r="R114" s="28">
        <f>4570-3920.5</f>
        <v>649.5</v>
      </c>
      <c r="S114" s="20"/>
    </row>
    <row r="115" spans="1:19" s="2" customFormat="1" ht="23.25" customHeight="1" x14ac:dyDescent="0.35">
      <c r="A115" s="193"/>
      <c r="B115" s="193"/>
      <c r="C115" s="193"/>
      <c r="D115" s="193"/>
      <c r="E115" s="193"/>
      <c r="F115" s="193"/>
      <c r="G115" s="193"/>
      <c r="H115" s="193"/>
      <c r="I115" s="193"/>
      <c r="J115" s="180">
        <v>2023</v>
      </c>
      <c r="K115" s="96">
        <v>1739.79</v>
      </c>
      <c r="L115" s="97">
        <v>0</v>
      </c>
      <c r="M115" s="96">
        <v>1600.61</v>
      </c>
      <c r="N115" s="98">
        <v>139.18</v>
      </c>
      <c r="O115" s="97">
        <v>0</v>
      </c>
      <c r="P115" s="180"/>
      <c r="Q115" s="196"/>
      <c r="R115" s="28"/>
      <c r="S115" s="20"/>
    </row>
    <row r="116" spans="1:19" s="2" customFormat="1" ht="86.25" customHeight="1" x14ac:dyDescent="0.35">
      <c r="A116" s="199" t="s">
        <v>316</v>
      </c>
      <c r="B116" s="173" t="s">
        <v>312</v>
      </c>
      <c r="C116" s="173" t="s">
        <v>313</v>
      </c>
      <c r="D116" s="173" t="s">
        <v>69</v>
      </c>
      <c r="E116" s="173" t="s">
        <v>314</v>
      </c>
      <c r="F116" s="173" t="s">
        <v>315</v>
      </c>
      <c r="G116" s="173" t="s">
        <v>218</v>
      </c>
      <c r="H116" s="173" t="s">
        <v>72</v>
      </c>
      <c r="I116" s="173" t="s">
        <v>72</v>
      </c>
      <c r="J116" s="180">
        <v>2022</v>
      </c>
      <c r="K116" s="96">
        <f t="shared" ref="K116:K121" si="35">L116+M116+N116+O116</f>
        <v>59536.849480000004</v>
      </c>
      <c r="L116" s="97">
        <f>L117</f>
        <v>0</v>
      </c>
      <c r="M116" s="96">
        <f t="shared" ref="M116:O116" si="36">M117</f>
        <v>54773.849480000004</v>
      </c>
      <c r="N116" s="97">
        <f t="shared" si="36"/>
        <v>4763</v>
      </c>
      <c r="O116" s="97">
        <f t="shared" si="36"/>
        <v>0</v>
      </c>
      <c r="P116" s="180"/>
      <c r="Q116" s="194">
        <f>161704.987+60213.551</f>
        <v>221918.538</v>
      </c>
      <c r="R116" s="28"/>
      <c r="S116" s="20"/>
    </row>
    <row r="117" spans="1:19" s="2" customFormat="1" ht="33" customHeight="1" x14ac:dyDescent="0.35">
      <c r="A117" s="200"/>
      <c r="B117" s="172" t="s">
        <v>183</v>
      </c>
      <c r="C117" s="172"/>
      <c r="D117" s="172"/>
      <c r="E117" s="172"/>
      <c r="F117" s="172"/>
      <c r="G117" s="172"/>
      <c r="H117" s="172"/>
      <c r="I117" s="172"/>
      <c r="J117" s="180">
        <v>2022</v>
      </c>
      <c r="K117" s="96">
        <f t="shared" si="35"/>
        <v>59536.849480000004</v>
      </c>
      <c r="L117" s="97">
        <v>0</v>
      </c>
      <c r="M117" s="96">
        <f>17873.84948+36900</f>
        <v>54773.849480000004</v>
      </c>
      <c r="N117" s="97">
        <v>4763</v>
      </c>
      <c r="O117" s="97"/>
      <c r="P117" s="180"/>
      <c r="Q117" s="196"/>
      <c r="R117" s="28"/>
      <c r="S117" s="20"/>
    </row>
    <row r="118" spans="1:19" s="2" customFormat="1" ht="87" hidden="1" customHeight="1" x14ac:dyDescent="0.35">
      <c r="A118" s="199" t="s">
        <v>122</v>
      </c>
      <c r="B118" s="173" t="s">
        <v>389</v>
      </c>
      <c r="C118" s="173" t="s">
        <v>243</v>
      </c>
      <c r="D118" s="173">
        <v>2024</v>
      </c>
      <c r="E118" s="173" t="s">
        <v>278</v>
      </c>
      <c r="F118" s="173" t="s">
        <v>279</v>
      </c>
      <c r="G118" s="123"/>
      <c r="H118" s="173" t="s">
        <v>242</v>
      </c>
      <c r="I118" s="173" t="s">
        <v>242</v>
      </c>
      <c r="J118" s="173">
        <v>2024</v>
      </c>
      <c r="K118" s="153">
        <f t="shared" si="35"/>
        <v>0</v>
      </c>
      <c r="L118" s="169">
        <f>L119</f>
        <v>0</v>
      </c>
      <c r="M118" s="169">
        <f t="shared" ref="M118:O118" si="37">M119</f>
        <v>0</v>
      </c>
      <c r="N118" s="153">
        <f t="shared" si="37"/>
        <v>0</v>
      </c>
      <c r="O118" s="99">
        <f t="shared" si="37"/>
        <v>0</v>
      </c>
      <c r="P118" s="173"/>
      <c r="Q118" s="216">
        <v>0</v>
      </c>
      <c r="R118" s="52"/>
      <c r="S118" s="20"/>
    </row>
    <row r="119" spans="1:19" s="2" customFormat="1" ht="30.75" hidden="1" customHeight="1" x14ac:dyDescent="0.35">
      <c r="A119" s="200"/>
      <c r="B119" s="173" t="s">
        <v>170</v>
      </c>
      <c r="C119" s="123"/>
      <c r="D119" s="123"/>
      <c r="E119" s="123"/>
      <c r="F119" s="123"/>
      <c r="G119" s="123"/>
      <c r="H119" s="123"/>
      <c r="I119" s="123"/>
      <c r="J119" s="173">
        <v>2024</v>
      </c>
      <c r="K119" s="153">
        <f t="shared" si="35"/>
        <v>0</v>
      </c>
      <c r="L119" s="169">
        <v>0</v>
      </c>
      <c r="M119" s="169">
        <v>0</v>
      </c>
      <c r="N119" s="153">
        <v>0</v>
      </c>
      <c r="O119" s="99">
        <v>0</v>
      </c>
      <c r="P119" s="173"/>
      <c r="Q119" s="217"/>
      <c r="R119" s="52"/>
      <c r="S119" s="20"/>
    </row>
    <row r="120" spans="1:19" s="2" customFormat="1" ht="80.25" hidden="1" customHeight="1" x14ac:dyDescent="0.35">
      <c r="A120" s="199" t="s">
        <v>123</v>
      </c>
      <c r="B120" s="170" t="s">
        <v>390</v>
      </c>
      <c r="C120" s="173" t="s">
        <v>244</v>
      </c>
      <c r="D120" s="173">
        <v>2024</v>
      </c>
      <c r="E120" s="173" t="s">
        <v>280</v>
      </c>
      <c r="F120" s="173" t="s">
        <v>281</v>
      </c>
      <c r="G120" s="123"/>
      <c r="H120" s="173" t="s">
        <v>245</v>
      </c>
      <c r="I120" s="173" t="s">
        <v>245</v>
      </c>
      <c r="J120" s="180">
        <v>2024</v>
      </c>
      <c r="K120" s="97">
        <f t="shared" si="35"/>
        <v>0</v>
      </c>
      <c r="L120" s="97">
        <f>L121</f>
        <v>0</v>
      </c>
      <c r="M120" s="97">
        <f t="shared" ref="M120:O120" si="38">M121</f>
        <v>0</v>
      </c>
      <c r="N120" s="97">
        <f t="shared" si="38"/>
        <v>0</v>
      </c>
      <c r="O120" s="124">
        <f t="shared" si="38"/>
        <v>0</v>
      </c>
      <c r="P120" s="180"/>
      <c r="Q120" s="216">
        <v>0</v>
      </c>
      <c r="R120" s="52"/>
      <c r="S120" s="20"/>
    </row>
    <row r="121" spans="1:19" s="2" customFormat="1" ht="30.75" hidden="1" customHeight="1" x14ac:dyDescent="0.35">
      <c r="A121" s="200"/>
      <c r="B121" s="173" t="s">
        <v>170</v>
      </c>
      <c r="C121" s="123"/>
      <c r="D121" s="123"/>
      <c r="E121" s="123"/>
      <c r="F121" s="123"/>
      <c r="G121" s="123"/>
      <c r="H121" s="123"/>
      <c r="I121" s="123"/>
      <c r="J121" s="180">
        <v>2024</v>
      </c>
      <c r="K121" s="97">
        <f t="shared" si="35"/>
        <v>0</v>
      </c>
      <c r="L121" s="97">
        <v>0</v>
      </c>
      <c r="M121" s="97">
        <v>0</v>
      </c>
      <c r="N121" s="97">
        <v>0</v>
      </c>
      <c r="O121" s="124">
        <v>0</v>
      </c>
      <c r="P121" s="180"/>
      <c r="Q121" s="217"/>
      <c r="R121" s="52"/>
      <c r="S121" s="20"/>
    </row>
    <row r="122" spans="1:19" s="2" customFormat="1" ht="84.75" hidden="1" customHeight="1" x14ac:dyDescent="0.35">
      <c r="A122" s="157" t="s">
        <v>124</v>
      </c>
      <c r="B122" s="187" t="s">
        <v>391</v>
      </c>
      <c r="C122" s="187" t="s">
        <v>259</v>
      </c>
      <c r="D122" s="163">
        <v>2024</v>
      </c>
      <c r="E122" s="187" t="s">
        <v>288</v>
      </c>
      <c r="F122" s="187" t="s">
        <v>289</v>
      </c>
      <c r="G122" s="187"/>
      <c r="H122" s="187" t="s">
        <v>260</v>
      </c>
      <c r="I122" s="187" t="s">
        <v>260</v>
      </c>
      <c r="J122" s="166">
        <v>2024</v>
      </c>
      <c r="K122" s="169">
        <f t="shared" ref="K122:K123" si="39">L122+M122+N122+O122</f>
        <v>0</v>
      </c>
      <c r="L122" s="169">
        <f>L123</f>
        <v>0</v>
      </c>
      <c r="M122" s="169">
        <f t="shared" ref="M122:N122" si="40">M123</f>
        <v>0</v>
      </c>
      <c r="N122" s="169">
        <f t="shared" si="40"/>
        <v>0</v>
      </c>
      <c r="O122" s="169">
        <f>O123</f>
        <v>0</v>
      </c>
      <c r="P122" s="173"/>
      <c r="Q122" s="213">
        <v>0</v>
      </c>
      <c r="R122" s="52"/>
      <c r="S122" s="20"/>
    </row>
    <row r="123" spans="1:19" s="2" customFormat="1" ht="30.75" hidden="1" customHeight="1" x14ac:dyDescent="0.35">
      <c r="A123" s="157"/>
      <c r="B123" s="187" t="s">
        <v>170</v>
      </c>
      <c r="C123" s="187"/>
      <c r="D123" s="187"/>
      <c r="E123" s="187"/>
      <c r="F123" s="187"/>
      <c r="G123" s="187"/>
      <c r="H123" s="187"/>
      <c r="I123" s="187"/>
      <c r="J123" s="166">
        <v>2024</v>
      </c>
      <c r="K123" s="169">
        <f t="shared" si="39"/>
        <v>0</v>
      </c>
      <c r="L123" s="169">
        <v>0</v>
      </c>
      <c r="M123" s="169">
        <v>0</v>
      </c>
      <c r="N123" s="169">
        <v>0</v>
      </c>
      <c r="O123" s="169">
        <v>0</v>
      </c>
      <c r="P123" s="173"/>
      <c r="Q123" s="208"/>
      <c r="R123" s="52"/>
      <c r="S123" s="20"/>
    </row>
    <row r="124" spans="1:19" s="2" customFormat="1" ht="93.45" customHeight="1" x14ac:dyDescent="0.35">
      <c r="A124" s="167" t="s">
        <v>397</v>
      </c>
      <c r="B124" s="142" t="s">
        <v>408</v>
      </c>
      <c r="C124" s="100" t="s">
        <v>243</v>
      </c>
      <c r="D124" s="173">
        <v>2026</v>
      </c>
      <c r="E124" s="100" t="s">
        <v>452</v>
      </c>
      <c r="F124" s="100" t="s">
        <v>453</v>
      </c>
      <c r="G124" s="100"/>
      <c r="H124" s="100" t="s">
        <v>242</v>
      </c>
      <c r="I124" s="100" t="s">
        <v>242</v>
      </c>
      <c r="J124" s="166">
        <v>2026</v>
      </c>
      <c r="K124" s="91">
        <f>L124+M124+N124+O124</f>
        <v>171026.30559999999</v>
      </c>
      <c r="L124" s="169">
        <f>L125</f>
        <v>24142</v>
      </c>
      <c r="M124" s="169">
        <f t="shared" ref="M124:O124" si="41">M125</f>
        <v>32002.2</v>
      </c>
      <c r="N124" s="91">
        <f t="shared" si="41"/>
        <v>4882.1055999999999</v>
      </c>
      <c r="O124" s="169">
        <f t="shared" si="41"/>
        <v>110000</v>
      </c>
      <c r="P124" s="173"/>
      <c r="Q124" s="264">
        <v>0</v>
      </c>
      <c r="R124" s="101"/>
      <c r="S124" s="20"/>
    </row>
    <row r="125" spans="1:19" s="2" customFormat="1" ht="30.75" customHeight="1" x14ac:dyDescent="0.35">
      <c r="A125" s="167"/>
      <c r="B125" s="100" t="s">
        <v>183</v>
      </c>
      <c r="C125" s="100"/>
      <c r="D125" s="100"/>
      <c r="E125" s="100"/>
      <c r="F125" s="100"/>
      <c r="G125" s="100"/>
      <c r="H125" s="100"/>
      <c r="I125" s="100"/>
      <c r="J125" s="166">
        <v>2026</v>
      </c>
      <c r="K125" s="91">
        <f>L125+M125+N125+O125</f>
        <v>171026.30559999999</v>
      </c>
      <c r="L125" s="169">
        <v>24142</v>
      </c>
      <c r="M125" s="169">
        <v>32002.2</v>
      </c>
      <c r="N125" s="91">
        <v>4882.1055999999999</v>
      </c>
      <c r="O125" s="169">
        <v>110000</v>
      </c>
      <c r="P125" s="173"/>
      <c r="Q125" s="264"/>
      <c r="R125" s="101"/>
      <c r="S125" s="20"/>
    </row>
    <row r="126" spans="1:19" ht="15.75" customHeight="1" x14ac:dyDescent="0.35">
      <c r="A126" s="220" t="s">
        <v>304</v>
      </c>
      <c r="B126" s="220"/>
      <c r="C126" s="220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0"/>
      <c r="R126" s="29"/>
      <c r="S126" s="19"/>
    </row>
    <row r="127" spans="1:19" ht="105.75" customHeight="1" x14ac:dyDescent="0.35">
      <c r="A127" s="214" t="s">
        <v>127</v>
      </c>
      <c r="B127" s="167" t="s">
        <v>186</v>
      </c>
      <c r="C127" s="167" t="s">
        <v>185</v>
      </c>
      <c r="D127" s="167" t="s">
        <v>370</v>
      </c>
      <c r="E127" s="167" t="s">
        <v>344</v>
      </c>
      <c r="F127" s="167" t="s">
        <v>345</v>
      </c>
      <c r="G127" s="167" t="s">
        <v>78</v>
      </c>
      <c r="H127" s="173" t="s">
        <v>77</v>
      </c>
      <c r="I127" s="173" t="s">
        <v>77</v>
      </c>
      <c r="J127" s="102">
        <v>2022</v>
      </c>
      <c r="K127" s="103">
        <f>K128</f>
        <v>4403.0858100000005</v>
      </c>
      <c r="L127" s="104">
        <f t="shared" ref="L127:P127" si="42">L128</f>
        <v>0</v>
      </c>
      <c r="M127" s="103">
        <f t="shared" si="42"/>
        <v>4403.0858100000005</v>
      </c>
      <c r="N127" s="104">
        <f t="shared" si="42"/>
        <v>0</v>
      </c>
      <c r="O127" s="104">
        <f t="shared" si="42"/>
        <v>0</v>
      </c>
      <c r="P127" s="103">
        <f t="shared" si="42"/>
        <v>0</v>
      </c>
      <c r="Q127" s="249">
        <f>559.5+1851.2+19749.15556+35097.7743699999+4403.085811</f>
        <v>61660.715740999891</v>
      </c>
      <c r="R127" s="60"/>
    </row>
    <row r="128" spans="1:19" ht="29.25" customHeight="1" x14ac:dyDescent="0.35">
      <c r="A128" s="214"/>
      <c r="B128" s="167" t="s">
        <v>170</v>
      </c>
      <c r="C128" s="167"/>
      <c r="D128" s="167"/>
      <c r="E128" s="167"/>
      <c r="F128" s="167"/>
      <c r="G128" s="167"/>
      <c r="H128" s="167"/>
      <c r="I128" s="167"/>
      <c r="J128" s="102">
        <v>2022</v>
      </c>
      <c r="K128" s="103">
        <f>L128+M128+N128</f>
        <v>4403.0858100000005</v>
      </c>
      <c r="L128" s="104">
        <v>0</v>
      </c>
      <c r="M128" s="103">
        <f>2300+4200-2096.91419</f>
        <v>4403.0858100000005</v>
      </c>
      <c r="N128" s="104">
        <v>0</v>
      </c>
      <c r="O128" s="104">
        <v>0</v>
      </c>
      <c r="P128" s="182"/>
      <c r="Q128" s="249"/>
      <c r="R128" s="31"/>
    </row>
    <row r="129" spans="1:18" ht="22.5" hidden="1" customHeight="1" x14ac:dyDescent="0.35">
      <c r="A129" s="199" t="s">
        <v>128</v>
      </c>
      <c r="B129" s="105" t="s">
        <v>75</v>
      </c>
      <c r="C129" s="167"/>
      <c r="D129" s="105" t="s">
        <v>483</v>
      </c>
      <c r="E129" s="105" t="s">
        <v>15</v>
      </c>
      <c r="F129" s="105" t="s">
        <v>484</v>
      </c>
      <c r="G129" s="105" t="s">
        <v>76</v>
      </c>
      <c r="H129" s="167"/>
      <c r="I129" s="167"/>
      <c r="J129" s="166">
        <v>2017</v>
      </c>
      <c r="K129" s="169">
        <f t="shared" ref="K129:K142" si="43">M129</f>
        <v>700</v>
      </c>
      <c r="L129" s="169"/>
      <c r="M129" s="169">
        <f>2500-1800</f>
        <v>700</v>
      </c>
      <c r="N129" s="169"/>
      <c r="O129" s="169"/>
      <c r="P129" s="173"/>
      <c r="Q129" s="194">
        <f>748.3+871.2+4071.8882+3137.61458+31095.05907+3332.82009</f>
        <v>43256.881939999999</v>
      </c>
      <c r="R129" s="26"/>
    </row>
    <row r="130" spans="1:18" ht="22.5" hidden="1" customHeight="1" x14ac:dyDescent="0.35">
      <c r="A130" s="204"/>
      <c r="B130" s="105"/>
      <c r="C130" s="167"/>
      <c r="D130" s="105"/>
      <c r="E130" s="105"/>
      <c r="F130" s="105"/>
      <c r="G130" s="105"/>
      <c r="H130" s="167"/>
      <c r="I130" s="167"/>
      <c r="J130" s="166">
        <v>2018</v>
      </c>
      <c r="K130" s="169">
        <f t="shared" si="43"/>
        <v>801</v>
      </c>
      <c r="L130" s="169"/>
      <c r="M130" s="169">
        <f>20000-17000-500-1500-199</f>
        <v>801</v>
      </c>
      <c r="N130" s="169"/>
      <c r="O130" s="169"/>
      <c r="P130" s="173"/>
      <c r="Q130" s="195"/>
      <c r="R130" s="26"/>
    </row>
    <row r="131" spans="1:18" ht="22.5" hidden="1" customHeight="1" x14ac:dyDescent="0.35">
      <c r="A131" s="204"/>
      <c r="B131" s="105"/>
      <c r="C131" s="167"/>
      <c r="D131" s="105"/>
      <c r="E131" s="105"/>
      <c r="F131" s="105"/>
      <c r="G131" s="105"/>
      <c r="H131" s="167"/>
      <c r="I131" s="167"/>
      <c r="J131" s="166" t="s">
        <v>485</v>
      </c>
      <c r="K131" s="169">
        <f t="shared" si="43"/>
        <v>2492</v>
      </c>
      <c r="L131" s="169"/>
      <c r="M131" s="169">
        <f>27723-7723-16500+405-1413</f>
        <v>2492</v>
      </c>
      <c r="N131" s="169"/>
      <c r="O131" s="169"/>
      <c r="P131" s="173"/>
      <c r="Q131" s="195"/>
      <c r="R131" s="26"/>
    </row>
    <row r="132" spans="1:18" ht="79.5" customHeight="1" x14ac:dyDescent="0.35">
      <c r="A132" s="204"/>
      <c r="B132" s="167" t="s">
        <v>191</v>
      </c>
      <c r="C132" s="167" t="s">
        <v>187</v>
      </c>
      <c r="D132" s="167" t="s">
        <v>466</v>
      </c>
      <c r="E132" s="167" t="s">
        <v>229</v>
      </c>
      <c r="F132" s="167" t="s">
        <v>230</v>
      </c>
      <c r="G132" s="167" t="s">
        <v>76</v>
      </c>
      <c r="H132" s="167" t="s">
        <v>67</v>
      </c>
      <c r="I132" s="167" t="s">
        <v>67</v>
      </c>
      <c r="J132" s="166" t="s">
        <v>393</v>
      </c>
      <c r="K132" s="153">
        <f>K136+K137</f>
        <v>81920.064029999994</v>
      </c>
      <c r="L132" s="153">
        <f t="shared" ref="L132:O132" si="44">L136+L137</f>
        <v>0</v>
      </c>
      <c r="M132" s="153">
        <f t="shared" si="44"/>
        <v>81920.064029999994</v>
      </c>
      <c r="N132" s="153">
        <f t="shared" si="44"/>
        <v>0</v>
      </c>
      <c r="O132" s="153">
        <f t="shared" si="44"/>
        <v>0</v>
      </c>
      <c r="P132" s="173"/>
      <c r="Q132" s="195"/>
      <c r="R132" s="26"/>
    </row>
    <row r="133" spans="1:18" ht="22.5" hidden="1" customHeight="1" x14ac:dyDescent="0.35">
      <c r="A133" s="204"/>
      <c r="B133" s="167" t="s">
        <v>169</v>
      </c>
      <c r="C133" s="105"/>
      <c r="D133" s="105"/>
      <c r="E133" s="105"/>
      <c r="F133" s="105"/>
      <c r="G133" s="105"/>
      <c r="H133" s="105"/>
      <c r="I133" s="105"/>
      <c r="J133" s="166">
        <v>2020</v>
      </c>
      <c r="K133" s="153">
        <f>M133</f>
        <v>3200.65</v>
      </c>
      <c r="L133" s="169">
        <v>0</v>
      </c>
      <c r="M133" s="152">
        <v>3200.65</v>
      </c>
      <c r="N133" s="169">
        <v>0</v>
      </c>
      <c r="O133" s="169">
        <v>0</v>
      </c>
      <c r="P133" s="173"/>
      <c r="Q133" s="195"/>
      <c r="R133" s="26"/>
    </row>
    <row r="134" spans="1:18" ht="22.5" hidden="1" customHeight="1" x14ac:dyDescent="0.35">
      <c r="A134" s="204"/>
      <c r="B134" s="199" t="s">
        <v>170</v>
      </c>
      <c r="C134" s="199"/>
      <c r="D134" s="199"/>
      <c r="E134" s="199"/>
      <c r="F134" s="199"/>
      <c r="G134" s="199"/>
      <c r="H134" s="199"/>
      <c r="I134" s="199"/>
      <c r="J134" s="166">
        <v>2020</v>
      </c>
      <c r="K134" s="153">
        <f>10000-3200.65</f>
        <v>6799.35</v>
      </c>
      <c r="L134" s="169">
        <v>0</v>
      </c>
      <c r="M134" s="152">
        <f>10000-3200.65</f>
        <v>6799.35</v>
      </c>
      <c r="N134" s="169">
        <v>0</v>
      </c>
      <c r="O134" s="169">
        <v>0</v>
      </c>
      <c r="P134" s="173"/>
      <c r="Q134" s="195"/>
      <c r="R134" s="26"/>
    </row>
    <row r="135" spans="1:18" ht="22.5" hidden="1" customHeight="1" x14ac:dyDescent="0.35">
      <c r="A135" s="204"/>
      <c r="B135" s="204"/>
      <c r="C135" s="204"/>
      <c r="D135" s="204"/>
      <c r="E135" s="204"/>
      <c r="F135" s="204"/>
      <c r="G135" s="204"/>
      <c r="H135" s="204"/>
      <c r="I135" s="204"/>
      <c r="J135" s="166">
        <v>2021</v>
      </c>
      <c r="K135" s="153">
        <f>M135</f>
        <v>18069</v>
      </c>
      <c r="L135" s="169">
        <v>0</v>
      </c>
      <c r="M135" s="169">
        <f>53069-35000</f>
        <v>18069</v>
      </c>
      <c r="N135" s="169">
        <v>0</v>
      </c>
      <c r="O135" s="169">
        <v>0</v>
      </c>
      <c r="P135" s="173"/>
      <c r="Q135" s="195"/>
      <c r="R135" s="26"/>
    </row>
    <row r="136" spans="1:18" ht="22.5" customHeight="1" x14ac:dyDescent="0.35">
      <c r="A136" s="204"/>
      <c r="B136" s="204"/>
      <c r="C136" s="204"/>
      <c r="D136" s="204"/>
      <c r="E136" s="204"/>
      <c r="F136" s="204"/>
      <c r="G136" s="204"/>
      <c r="H136" s="204"/>
      <c r="I136" s="204"/>
      <c r="J136" s="166">
        <v>2022</v>
      </c>
      <c r="K136" s="153">
        <f>M136</f>
        <v>31095.059069999999</v>
      </c>
      <c r="L136" s="169">
        <v>0</v>
      </c>
      <c r="M136" s="153">
        <f>5206+35000+14931.38542-23578.37102-463.95533</f>
        <v>31095.059069999999</v>
      </c>
      <c r="N136" s="169">
        <v>0</v>
      </c>
      <c r="O136" s="169">
        <v>0</v>
      </c>
      <c r="P136" s="173"/>
      <c r="Q136" s="195"/>
      <c r="R136" s="26"/>
    </row>
    <row r="137" spans="1:18" ht="22.5" customHeight="1" x14ac:dyDescent="0.35">
      <c r="A137" s="204"/>
      <c r="B137" s="204"/>
      <c r="C137" s="204"/>
      <c r="D137" s="204"/>
      <c r="E137" s="204"/>
      <c r="F137" s="204"/>
      <c r="G137" s="204"/>
      <c r="H137" s="204"/>
      <c r="I137" s="204"/>
      <c r="J137" s="166">
        <v>2023</v>
      </c>
      <c r="K137" s="153">
        <f>L137+M137+N137+O137</f>
        <v>50825.004959999998</v>
      </c>
      <c r="L137" s="169">
        <v>0</v>
      </c>
      <c r="M137" s="153">
        <v>50825.004959999998</v>
      </c>
      <c r="N137" s="169">
        <v>0</v>
      </c>
      <c r="O137" s="169">
        <v>0</v>
      </c>
      <c r="P137" s="173"/>
      <c r="Q137" s="195"/>
      <c r="R137" s="26"/>
    </row>
    <row r="138" spans="1:18" ht="22.5" customHeight="1" x14ac:dyDescent="0.35">
      <c r="A138" s="200"/>
      <c r="B138" s="200"/>
      <c r="C138" s="200"/>
      <c r="D138" s="200"/>
      <c r="E138" s="200"/>
      <c r="F138" s="200"/>
      <c r="G138" s="200"/>
      <c r="H138" s="200"/>
      <c r="I138" s="200"/>
      <c r="J138" s="166" t="s">
        <v>464</v>
      </c>
      <c r="K138" s="153">
        <f>L138+M138+N138+O138</f>
        <v>66211.39026</v>
      </c>
      <c r="L138" s="169">
        <v>0</v>
      </c>
      <c r="M138" s="153">
        <v>66211.39026</v>
      </c>
      <c r="N138" s="169">
        <v>0</v>
      </c>
      <c r="O138" s="169">
        <v>0</v>
      </c>
      <c r="P138" s="173"/>
      <c r="Q138" s="196"/>
      <c r="R138" s="26"/>
    </row>
    <row r="139" spans="1:18" ht="20.25" hidden="1" customHeight="1" x14ac:dyDescent="0.35">
      <c r="A139" s="199" t="s">
        <v>246</v>
      </c>
      <c r="B139" s="199" t="s">
        <v>189</v>
      </c>
      <c r="C139" s="156"/>
      <c r="D139" s="199" t="s">
        <v>486</v>
      </c>
      <c r="E139" s="199" t="s">
        <v>219</v>
      </c>
      <c r="F139" s="199" t="s">
        <v>221</v>
      </c>
      <c r="G139" s="199"/>
      <c r="H139" s="156"/>
      <c r="I139" s="156"/>
      <c r="J139" s="166">
        <v>2017</v>
      </c>
      <c r="K139" s="169">
        <f>M139</f>
        <v>0</v>
      </c>
      <c r="L139" s="169"/>
      <c r="M139" s="169">
        <v>0</v>
      </c>
      <c r="N139" s="169"/>
      <c r="O139" s="169"/>
      <c r="P139" s="173"/>
      <c r="Q139" s="194">
        <f>836.5+3562.8+6045.80423+126530.26796+14435.95755</f>
        <v>151411.32973999999</v>
      </c>
      <c r="R139" s="30"/>
    </row>
    <row r="140" spans="1:18" ht="25.5" hidden="1" customHeight="1" x14ac:dyDescent="0.35">
      <c r="A140" s="204"/>
      <c r="B140" s="204"/>
      <c r="C140" s="168"/>
      <c r="D140" s="204"/>
      <c r="E140" s="204"/>
      <c r="F140" s="204"/>
      <c r="G140" s="204"/>
      <c r="H140" s="168"/>
      <c r="I140" s="168"/>
      <c r="J140" s="166">
        <v>2018</v>
      </c>
      <c r="K140" s="169">
        <f t="shared" si="43"/>
        <v>837</v>
      </c>
      <c r="L140" s="169"/>
      <c r="M140" s="169">
        <f>22000-13000-4000-4163</f>
        <v>837</v>
      </c>
      <c r="N140" s="169"/>
      <c r="O140" s="169"/>
      <c r="P140" s="173"/>
      <c r="Q140" s="195"/>
      <c r="R140" s="30"/>
    </row>
    <row r="141" spans="1:18" ht="25.5" hidden="1" customHeight="1" x14ac:dyDescent="0.35">
      <c r="A141" s="204"/>
      <c r="B141" s="204"/>
      <c r="C141" s="168"/>
      <c r="D141" s="204"/>
      <c r="E141" s="204"/>
      <c r="F141" s="204"/>
      <c r="G141" s="204"/>
      <c r="H141" s="168"/>
      <c r="I141" s="168"/>
      <c r="J141" s="166">
        <v>2019</v>
      </c>
      <c r="K141" s="169">
        <f t="shared" si="43"/>
        <v>3714</v>
      </c>
      <c r="L141" s="169"/>
      <c r="M141" s="169">
        <f>131183.5-93183.5-34600+3716-116+102.5-3388.5</f>
        <v>3714</v>
      </c>
      <c r="N141" s="169"/>
      <c r="O141" s="169"/>
      <c r="P141" s="173"/>
      <c r="Q141" s="195"/>
      <c r="R141" s="30"/>
    </row>
    <row r="142" spans="1:18" ht="84.75" customHeight="1" x14ac:dyDescent="0.35">
      <c r="A142" s="204"/>
      <c r="B142" s="200"/>
      <c r="C142" s="157" t="s">
        <v>188</v>
      </c>
      <c r="D142" s="200"/>
      <c r="E142" s="200"/>
      <c r="F142" s="200"/>
      <c r="G142" s="200"/>
      <c r="H142" s="157" t="s">
        <v>67</v>
      </c>
      <c r="I142" s="157" t="s">
        <v>67</v>
      </c>
      <c r="J142" s="166" t="s">
        <v>393</v>
      </c>
      <c r="K142" s="91">
        <f t="shared" si="43"/>
        <v>510693.12698</v>
      </c>
      <c r="L142" s="169">
        <f>L143+L144+L145+L146</f>
        <v>0</v>
      </c>
      <c r="M142" s="99">
        <f t="shared" ref="M142:O142" si="45">M143+M144+M145+M146</f>
        <v>510693.12698</v>
      </c>
      <c r="N142" s="169">
        <f t="shared" si="45"/>
        <v>0</v>
      </c>
      <c r="O142" s="169">
        <f t="shared" si="45"/>
        <v>0</v>
      </c>
      <c r="P142" s="173"/>
      <c r="Q142" s="195"/>
      <c r="R142" s="30"/>
    </row>
    <row r="143" spans="1:18" ht="27" hidden="1" customHeight="1" x14ac:dyDescent="0.35">
      <c r="A143" s="204"/>
      <c r="B143" s="167" t="s">
        <v>169</v>
      </c>
      <c r="C143" s="167"/>
      <c r="D143" s="167"/>
      <c r="E143" s="167"/>
      <c r="F143" s="167"/>
      <c r="G143" s="167"/>
      <c r="H143" s="167"/>
      <c r="I143" s="167"/>
      <c r="J143" s="166">
        <v>2020</v>
      </c>
      <c r="K143" s="152">
        <v>6698</v>
      </c>
      <c r="L143" s="169">
        <v>0</v>
      </c>
      <c r="M143" s="152">
        <v>6698</v>
      </c>
      <c r="N143" s="169">
        <v>0</v>
      </c>
      <c r="O143" s="169">
        <v>0</v>
      </c>
      <c r="P143" s="173"/>
      <c r="Q143" s="195"/>
      <c r="R143" s="30"/>
    </row>
    <row r="144" spans="1:18" ht="27" customHeight="1" x14ac:dyDescent="0.35">
      <c r="A144" s="204"/>
      <c r="B144" s="199" t="s">
        <v>183</v>
      </c>
      <c r="C144" s="199"/>
      <c r="D144" s="199"/>
      <c r="E144" s="199"/>
      <c r="F144" s="199"/>
      <c r="G144" s="199"/>
      <c r="H144" s="199"/>
      <c r="I144" s="199"/>
      <c r="J144" s="166">
        <v>2022</v>
      </c>
      <c r="K144" s="153">
        <f>M144+N144+O144</f>
        <v>126530.26796</v>
      </c>
      <c r="L144" s="169">
        <v>0</v>
      </c>
      <c r="M144" s="153">
        <f>20000+140+106530.26796-140</f>
        <v>126530.26796</v>
      </c>
      <c r="N144" s="169">
        <v>0</v>
      </c>
      <c r="O144" s="169">
        <v>0</v>
      </c>
      <c r="P144" s="173"/>
      <c r="Q144" s="195"/>
      <c r="R144" s="30"/>
    </row>
    <row r="145" spans="1:18" ht="27" customHeight="1" x14ac:dyDescent="0.35">
      <c r="A145" s="204"/>
      <c r="B145" s="204"/>
      <c r="C145" s="204"/>
      <c r="D145" s="204"/>
      <c r="E145" s="204"/>
      <c r="F145" s="204"/>
      <c r="G145" s="204"/>
      <c r="H145" s="204"/>
      <c r="I145" s="204"/>
      <c r="J145" s="166">
        <v>2023</v>
      </c>
      <c r="K145" s="153">
        <f>M145+N145+O145</f>
        <v>128364.92548000002</v>
      </c>
      <c r="L145" s="169">
        <v>0</v>
      </c>
      <c r="M145" s="153">
        <f>259500+878.56+47498.2-106530.26796-0.00204-72981.56452</f>
        <v>128364.92548000002</v>
      </c>
      <c r="N145" s="169">
        <v>0</v>
      </c>
      <c r="O145" s="169">
        <v>0</v>
      </c>
      <c r="P145" s="173"/>
      <c r="Q145" s="195"/>
      <c r="R145" s="30"/>
    </row>
    <row r="146" spans="1:18" ht="27" customHeight="1" x14ac:dyDescent="0.35">
      <c r="A146" s="200"/>
      <c r="B146" s="200"/>
      <c r="C146" s="200"/>
      <c r="D146" s="200"/>
      <c r="E146" s="200"/>
      <c r="F146" s="200"/>
      <c r="G146" s="200"/>
      <c r="H146" s="200"/>
      <c r="I146" s="200"/>
      <c r="J146" s="90">
        <v>2024</v>
      </c>
      <c r="K146" s="150">
        <f>L146+M146+N146+O146</f>
        <v>249099.93354</v>
      </c>
      <c r="L146" s="154">
        <v>0</v>
      </c>
      <c r="M146" s="150">
        <f>72981.6+176118.33354</f>
        <v>249099.93354</v>
      </c>
      <c r="N146" s="154">
        <v>0</v>
      </c>
      <c r="O146" s="154">
        <v>0</v>
      </c>
      <c r="P146" s="170"/>
      <c r="Q146" s="196"/>
      <c r="R146" s="148">
        <f>249099.933544-M146</f>
        <v>4.0000013541430235E-6</v>
      </c>
    </row>
    <row r="147" spans="1:18" ht="24.75" hidden="1" customHeight="1" x14ac:dyDescent="0.35">
      <c r="A147" s="199" t="s">
        <v>247</v>
      </c>
      <c r="B147" s="78" t="s">
        <v>190</v>
      </c>
      <c r="C147" s="156"/>
      <c r="D147" s="78" t="s">
        <v>352</v>
      </c>
      <c r="E147" s="78" t="s">
        <v>113</v>
      </c>
      <c r="F147" s="78" t="s">
        <v>114</v>
      </c>
      <c r="G147" s="78" t="s">
        <v>74</v>
      </c>
      <c r="H147" s="156"/>
      <c r="I147" s="156"/>
      <c r="J147" s="90">
        <v>2016</v>
      </c>
      <c r="K147" s="154">
        <f t="shared" ref="K147:K153" si="46">M147</f>
        <v>100</v>
      </c>
      <c r="L147" s="154"/>
      <c r="M147" s="154">
        <f>2500-2400</f>
        <v>100</v>
      </c>
      <c r="N147" s="154"/>
      <c r="O147" s="154"/>
      <c r="P147" s="170" t="s">
        <v>20</v>
      </c>
      <c r="Q147" s="194">
        <f>905.1+1408.5+13986.08653+47859.41305+11272.23822</f>
        <v>75431.337800000008</v>
      </c>
      <c r="R147" s="31"/>
    </row>
    <row r="148" spans="1:18" ht="24.75" hidden="1" customHeight="1" x14ac:dyDescent="0.35">
      <c r="A148" s="204"/>
      <c r="B148" s="81"/>
      <c r="C148" s="168"/>
      <c r="D148" s="81"/>
      <c r="E148" s="81"/>
      <c r="F148" s="81"/>
      <c r="G148" s="81"/>
      <c r="H148" s="168"/>
      <c r="I148" s="168"/>
      <c r="J148" s="90">
        <v>2017</v>
      </c>
      <c r="K148" s="154">
        <f t="shared" si="46"/>
        <v>2500</v>
      </c>
      <c r="L148" s="154"/>
      <c r="M148" s="154">
        <f>2500</f>
        <v>2500</v>
      </c>
      <c r="N148" s="154"/>
      <c r="O148" s="154"/>
      <c r="P148" s="170"/>
      <c r="Q148" s="195"/>
      <c r="R148" s="31"/>
    </row>
    <row r="149" spans="1:18" ht="24.75" hidden="1" customHeight="1" x14ac:dyDescent="0.35">
      <c r="A149" s="204"/>
      <c r="B149" s="81"/>
      <c r="C149" s="168"/>
      <c r="D149" s="81"/>
      <c r="E149" s="81"/>
      <c r="F149" s="81"/>
      <c r="G149" s="81"/>
      <c r="H149" s="168"/>
      <c r="I149" s="168"/>
      <c r="J149" s="90" t="s">
        <v>45</v>
      </c>
      <c r="K149" s="154">
        <f t="shared" si="46"/>
        <v>2000</v>
      </c>
      <c r="L149" s="154"/>
      <c r="M149" s="154">
        <f>20000-17500-500</f>
        <v>2000</v>
      </c>
      <c r="N149" s="154"/>
      <c r="O149" s="154"/>
      <c r="P149" s="170"/>
      <c r="Q149" s="195"/>
      <c r="R149" s="31"/>
    </row>
    <row r="150" spans="1:18" ht="24.75" hidden="1" customHeight="1" x14ac:dyDescent="0.35">
      <c r="A150" s="204"/>
      <c r="B150" s="81"/>
      <c r="C150" s="168"/>
      <c r="D150" s="81"/>
      <c r="E150" s="81"/>
      <c r="F150" s="81"/>
      <c r="G150" s="81"/>
      <c r="H150" s="168"/>
      <c r="I150" s="168"/>
      <c r="J150" s="166" t="s">
        <v>51</v>
      </c>
      <c r="K150" s="169">
        <f t="shared" si="46"/>
        <v>1433</v>
      </c>
      <c r="L150" s="169"/>
      <c r="M150" s="169">
        <f>27723-7723-19100+533</f>
        <v>1433</v>
      </c>
      <c r="N150" s="169"/>
      <c r="O150" s="169"/>
      <c r="P150" s="173"/>
      <c r="Q150" s="195"/>
      <c r="R150" s="31"/>
    </row>
    <row r="151" spans="1:18" ht="76.5" customHeight="1" x14ac:dyDescent="0.35">
      <c r="A151" s="204"/>
      <c r="B151" s="168" t="s">
        <v>190</v>
      </c>
      <c r="C151" s="168" t="s">
        <v>187</v>
      </c>
      <c r="D151" s="168" t="s">
        <v>370</v>
      </c>
      <c r="E151" s="168" t="s">
        <v>113</v>
      </c>
      <c r="F151" s="168" t="s">
        <v>114</v>
      </c>
      <c r="G151" s="168" t="s">
        <v>74</v>
      </c>
      <c r="H151" s="168" t="s">
        <v>67</v>
      </c>
      <c r="I151" s="168" t="s">
        <v>67</v>
      </c>
      <c r="J151" s="166">
        <v>2022</v>
      </c>
      <c r="K151" s="153">
        <f>K152</f>
        <v>11528.228910000002</v>
      </c>
      <c r="L151" s="152">
        <f t="shared" ref="L151:O151" si="47">L152</f>
        <v>0</v>
      </c>
      <c r="M151" s="153">
        <f t="shared" si="47"/>
        <v>11528.228910000002</v>
      </c>
      <c r="N151" s="152">
        <f t="shared" si="47"/>
        <v>0</v>
      </c>
      <c r="O151" s="152">
        <f t="shared" si="47"/>
        <v>0</v>
      </c>
      <c r="P151" s="173"/>
      <c r="Q151" s="195"/>
      <c r="R151" s="31"/>
    </row>
    <row r="152" spans="1:18" ht="21" customHeight="1" x14ac:dyDescent="0.35">
      <c r="A152" s="200"/>
      <c r="B152" s="167" t="s">
        <v>170</v>
      </c>
      <c r="C152" s="167"/>
      <c r="D152" s="167"/>
      <c r="E152" s="167"/>
      <c r="F152" s="167"/>
      <c r="G152" s="167"/>
      <c r="H152" s="167"/>
      <c r="I152" s="167"/>
      <c r="J152" s="166">
        <v>2022</v>
      </c>
      <c r="K152" s="153">
        <f>M152</f>
        <v>11528.228910000002</v>
      </c>
      <c r="L152" s="169">
        <v>0</v>
      </c>
      <c r="M152" s="153">
        <f>8625.00695+3965-1061.77804</f>
        <v>11528.228910000002</v>
      </c>
      <c r="N152" s="169">
        <v>0</v>
      </c>
      <c r="O152" s="169">
        <v>0</v>
      </c>
      <c r="P152" s="173"/>
      <c r="Q152" s="196"/>
      <c r="R152" s="31"/>
    </row>
    <row r="153" spans="1:18" ht="32.25" hidden="1" customHeight="1" x14ac:dyDescent="0.35">
      <c r="A153" s="214" t="s">
        <v>248</v>
      </c>
      <c r="B153" s="214" t="s">
        <v>192</v>
      </c>
      <c r="C153" s="167"/>
      <c r="D153" s="214" t="s">
        <v>374</v>
      </c>
      <c r="E153" s="214" t="s">
        <v>55</v>
      </c>
      <c r="F153" s="214" t="s">
        <v>56</v>
      </c>
      <c r="G153" s="214" t="s">
        <v>353</v>
      </c>
      <c r="H153" s="167"/>
      <c r="I153" s="167"/>
      <c r="J153" s="166">
        <v>2016</v>
      </c>
      <c r="K153" s="169">
        <f t="shared" si="46"/>
        <v>3100</v>
      </c>
      <c r="L153" s="169"/>
      <c r="M153" s="169">
        <f>2500+600</f>
        <v>3100</v>
      </c>
      <c r="N153" s="169"/>
      <c r="O153" s="169"/>
      <c r="P153" s="173">
        <v>2017</v>
      </c>
      <c r="Q153" s="249">
        <f>20790.3+1695.4+450.4+16790.11383+5958.42506+379.52004</f>
        <v>46064.158930000005</v>
      </c>
      <c r="R153" s="31"/>
    </row>
    <row r="154" spans="1:18" ht="32.25" hidden="1" customHeight="1" x14ac:dyDescent="0.35">
      <c r="A154" s="214"/>
      <c r="B154" s="214"/>
      <c r="C154" s="167"/>
      <c r="D154" s="214"/>
      <c r="E154" s="214"/>
      <c r="F154" s="214"/>
      <c r="G154" s="214"/>
      <c r="H154" s="167"/>
      <c r="I154" s="167"/>
      <c r="J154" s="166" t="s">
        <v>39</v>
      </c>
      <c r="K154" s="169">
        <f t="shared" ref="K154:K160" si="48">M154</f>
        <v>1696</v>
      </c>
      <c r="L154" s="169"/>
      <c r="M154" s="169">
        <v>1696</v>
      </c>
      <c r="N154" s="169"/>
      <c r="O154" s="169"/>
      <c r="P154" s="173"/>
      <c r="Q154" s="249"/>
      <c r="R154" s="31"/>
    </row>
    <row r="155" spans="1:18" ht="46.5" hidden="1" customHeight="1" x14ac:dyDescent="0.35">
      <c r="A155" s="214"/>
      <c r="B155" s="214"/>
      <c r="C155" s="167"/>
      <c r="D155" s="214"/>
      <c r="E155" s="214"/>
      <c r="F155" s="214"/>
      <c r="G155" s="214"/>
      <c r="H155" s="167"/>
      <c r="I155" s="167"/>
      <c r="J155" s="166">
        <v>2019</v>
      </c>
      <c r="K155" s="169">
        <f>L155+M155+N155</f>
        <v>20790.3</v>
      </c>
      <c r="L155" s="169">
        <v>0</v>
      </c>
      <c r="M155" s="169">
        <f>8790.3+12000</f>
        <v>20790.3</v>
      </c>
      <c r="N155" s="169"/>
      <c r="O155" s="169"/>
      <c r="P155" s="173"/>
      <c r="Q155" s="249"/>
      <c r="R155" s="31"/>
    </row>
    <row r="156" spans="1:18" ht="75.75" customHeight="1" x14ac:dyDescent="0.35">
      <c r="A156" s="214"/>
      <c r="B156" s="214"/>
      <c r="C156" s="167" t="s">
        <v>187</v>
      </c>
      <c r="D156" s="214"/>
      <c r="E156" s="214"/>
      <c r="F156" s="214"/>
      <c r="G156" s="214"/>
      <c r="H156" s="167" t="s">
        <v>67</v>
      </c>
      <c r="I156" s="167" t="s">
        <v>67</v>
      </c>
      <c r="J156" s="166">
        <v>2022</v>
      </c>
      <c r="K156" s="153">
        <f>K157</f>
        <v>379.52004000000005</v>
      </c>
      <c r="L156" s="152">
        <f t="shared" ref="L156:O156" si="49">L157</f>
        <v>0</v>
      </c>
      <c r="M156" s="153">
        <f t="shared" si="49"/>
        <v>379.52004000000005</v>
      </c>
      <c r="N156" s="152">
        <f t="shared" si="49"/>
        <v>0</v>
      </c>
      <c r="O156" s="152">
        <f t="shared" si="49"/>
        <v>0</v>
      </c>
      <c r="P156" s="173"/>
      <c r="Q156" s="249"/>
      <c r="R156" s="31"/>
    </row>
    <row r="157" spans="1:18" ht="27.75" customHeight="1" x14ac:dyDescent="0.35">
      <c r="A157" s="214"/>
      <c r="B157" s="167" t="s">
        <v>170</v>
      </c>
      <c r="C157" s="167"/>
      <c r="D157" s="167"/>
      <c r="E157" s="167"/>
      <c r="F157" s="167"/>
      <c r="G157" s="167"/>
      <c r="H157" s="167"/>
      <c r="I157" s="167"/>
      <c r="J157" s="166">
        <v>2022</v>
      </c>
      <c r="K157" s="153">
        <f>L157+M157+N157</f>
        <v>379.52004000000005</v>
      </c>
      <c r="L157" s="152">
        <v>0</v>
      </c>
      <c r="M157" s="153">
        <f>405.57494-26.0549</f>
        <v>379.52004000000005</v>
      </c>
      <c r="N157" s="169">
        <v>0</v>
      </c>
      <c r="O157" s="169">
        <v>0</v>
      </c>
      <c r="P157" s="173"/>
      <c r="Q157" s="249"/>
      <c r="R157" s="31"/>
    </row>
    <row r="158" spans="1:18" ht="33" hidden="1" customHeight="1" x14ac:dyDescent="0.35">
      <c r="A158" s="199" t="s">
        <v>307</v>
      </c>
      <c r="B158" s="214" t="s">
        <v>193</v>
      </c>
      <c r="C158" s="167"/>
      <c r="D158" s="214" t="s">
        <v>487</v>
      </c>
      <c r="E158" s="214" t="s">
        <v>220</v>
      </c>
      <c r="F158" s="214" t="s">
        <v>222</v>
      </c>
      <c r="G158" s="214"/>
      <c r="H158" s="167"/>
      <c r="I158" s="167"/>
      <c r="J158" s="166">
        <v>2017</v>
      </c>
      <c r="K158" s="169">
        <f t="shared" si="48"/>
        <v>0</v>
      </c>
      <c r="L158" s="169"/>
      <c r="M158" s="169">
        <v>0</v>
      </c>
      <c r="N158" s="169"/>
      <c r="O158" s="169"/>
      <c r="P158" s="173"/>
      <c r="Q158" s="194">
        <f>1460.4+3039.90823+12524.3164+23558.86171+27863.03835</f>
        <v>68446.524690000006</v>
      </c>
      <c r="R158" s="31"/>
    </row>
    <row r="159" spans="1:18" ht="33" hidden="1" customHeight="1" x14ac:dyDescent="0.35">
      <c r="A159" s="204"/>
      <c r="B159" s="214"/>
      <c r="C159" s="167"/>
      <c r="D159" s="214"/>
      <c r="E159" s="214"/>
      <c r="F159" s="214"/>
      <c r="G159" s="214"/>
      <c r="H159" s="167"/>
      <c r="I159" s="167"/>
      <c r="J159" s="166">
        <v>2018</v>
      </c>
      <c r="K159" s="169">
        <f t="shared" si="48"/>
        <v>715</v>
      </c>
      <c r="L159" s="169"/>
      <c r="M159" s="169">
        <f>3000-2000-285</f>
        <v>715</v>
      </c>
      <c r="N159" s="169"/>
      <c r="O159" s="169"/>
      <c r="P159" s="173"/>
      <c r="Q159" s="195"/>
      <c r="R159" s="31"/>
    </row>
    <row r="160" spans="1:18" ht="33" hidden="1" customHeight="1" x14ac:dyDescent="0.35">
      <c r="A160" s="204"/>
      <c r="B160" s="214"/>
      <c r="C160" s="167"/>
      <c r="D160" s="214"/>
      <c r="E160" s="214"/>
      <c r="F160" s="214"/>
      <c r="G160" s="214"/>
      <c r="H160" s="167"/>
      <c r="I160" s="167"/>
      <c r="J160" s="166">
        <v>2019</v>
      </c>
      <c r="K160" s="169">
        <f t="shared" si="48"/>
        <v>1710.6</v>
      </c>
      <c r="L160" s="169"/>
      <c r="M160" s="169">
        <f>27723-7723-17400-889.4</f>
        <v>1710.6</v>
      </c>
      <c r="N160" s="169"/>
      <c r="O160" s="169"/>
      <c r="P160" s="173"/>
      <c r="Q160" s="195"/>
      <c r="R160" s="31"/>
    </row>
    <row r="161" spans="1:18" ht="81" customHeight="1" x14ac:dyDescent="0.35">
      <c r="A161" s="204"/>
      <c r="B161" s="214"/>
      <c r="C161" s="167" t="s">
        <v>187</v>
      </c>
      <c r="D161" s="214"/>
      <c r="E161" s="214"/>
      <c r="F161" s="214"/>
      <c r="G161" s="214"/>
      <c r="H161" s="167" t="s">
        <v>67</v>
      </c>
      <c r="I161" s="167" t="s">
        <v>67</v>
      </c>
      <c r="J161" s="166" t="s">
        <v>393</v>
      </c>
      <c r="K161" s="153">
        <f>K164+K165</f>
        <v>54981.083599999998</v>
      </c>
      <c r="L161" s="169">
        <f t="shared" ref="L161:O161" si="50">L164+L165</f>
        <v>0</v>
      </c>
      <c r="M161" s="153">
        <f t="shared" si="50"/>
        <v>54981.083599999998</v>
      </c>
      <c r="N161" s="169">
        <f t="shared" si="50"/>
        <v>0</v>
      </c>
      <c r="O161" s="169">
        <f t="shared" si="50"/>
        <v>0</v>
      </c>
      <c r="P161" s="173"/>
      <c r="Q161" s="195"/>
      <c r="R161" s="31"/>
    </row>
    <row r="162" spans="1:18" ht="23.25" hidden="1" customHeight="1" x14ac:dyDescent="0.35">
      <c r="A162" s="204"/>
      <c r="B162" s="167" t="s">
        <v>169</v>
      </c>
      <c r="C162" s="167"/>
      <c r="D162" s="167"/>
      <c r="E162" s="167"/>
      <c r="F162" s="167"/>
      <c r="G162" s="167"/>
      <c r="H162" s="167"/>
      <c r="I162" s="167"/>
      <c r="J162" s="166">
        <v>2020</v>
      </c>
      <c r="K162" s="153">
        <f t="shared" ref="K162" si="51">M162</f>
        <v>2600</v>
      </c>
      <c r="L162" s="169">
        <v>0</v>
      </c>
      <c r="M162" s="169">
        <f>30652-10652-17600+200</f>
        <v>2600</v>
      </c>
      <c r="N162" s="169">
        <v>0</v>
      </c>
      <c r="O162" s="169">
        <v>0</v>
      </c>
      <c r="P162" s="173"/>
      <c r="Q162" s="195"/>
      <c r="R162" s="31"/>
    </row>
    <row r="163" spans="1:18" ht="23.25" hidden="1" customHeight="1" x14ac:dyDescent="0.35">
      <c r="A163" s="204"/>
      <c r="B163" s="199" t="s">
        <v>170</v>
      </c>
      <c r="C163" s="199"/>
      <c r="D163" s="199"/>
      <c r="E163" s="199"/>
      <c r="F163" s="199"/>
      <c r="G163" s="199"/>
      <c r="H163" s="199"/>
      <c r="I163" s="199"/>
      <c r="J163" s="166">
        <v>2021</v>
      </c>
      <c r="K163" s="153">
        <f>L163+M163+N163</f>
        <v>20000</v>
      </c>
      <c r="L163" s="169">
        <v>0</v>
      </c>
      <c r="M163" s="169">
        <f>30000-10000</f>
        <v>20000</v>
      </c>
      <c r="N163" s="169">
        <v>0</v>
      </c>
      <c r="O163" s="169">
        <v>0</v>
      </c>
      <c r="P163" s="173"/>
      <c r="Q163" s="195"/>
      <c r="R163" s="31"/>
    </row>
    <row r="164" spans="1:18" ht="23.25" customHeight="1" x14ac:dyDescent="0.35">
      <c r="A164" s="204"/>
      <c r="B164" s="204"/>
      <c r="C164" s="204"/>
      <c r="D164" s="204"/>
      <c r="E164" s="204"/>
      <c r="F164" s="204"/>
      <c r="G164" s="204"/>
      <c r="H164" s="204"/>
      <c r="I164" s="204"/>
      <c r="J164" s="166">
        <v>2022</v>
      </c>
      <c r="K164" s="153">
        <f>L164+M164+N164+O164</f>
        <v>23580.254620000003</v>
      </c>
      <c r="L164" s="169">
        <v>0</v>
      </c>
      <c r="M164" s="153">
        <v>23580.254620000003</v>
      </c>
      <c r="N164" s="169">
        <v>0</v>
      </c>
      <c r="O164" s="169">
        <v>0</v>
      </c>
      <c r="P164" s="173"/>
      <c r="Q164" s="195"/>
      <c r="R164" s="31"/>
    </row>
    <row r="165" spans="1:18" ht="23.25" customHeight="1" x14ac:dyDescent="0.35">
      <c r="A165" s="204"/>
      <c r="B165" s="204"/>
      <c r="C165" s="204"/>
      <c r="D165" s="204"/>
      <c r="E165" s="204"/>
      <c r="F165" s="204"/>
      <c r="G165" s="204"/>
      <c r="H165" s="204"/>
      <c r="I165" s="204"/>
      <c r="J165" s="166">
        <v>2023</v>
      </c>
      <c r="K165" s="153">
        <f>L165+M165+N165+O165</f>
        <v>31400.828979999998</v>
      </c>
      <c r="L165" s="169">
        <v>0</v>
      </c>
      <c r="M165" s="153">
        <f>21134.82898+10266</f>
        <v>31400.828979999998</v>
      </c>
      <c r="N165" s="169">
        <v>0</v>
      </c>
      <c r="O165" s="169">
        <v>0</v>
      </c>
      <c r="P165" s="173"/>
      <c r="Q165" s="196"/>
      <c r="R165" s="31"/>
    </row>
    <row r="166" spans="1:18" ht="23.25" customHeight="1" x14ac:dyDescent="0.35">
      <c r="A166" s="200"/>
      <c r="B166" s="200"/>
      <c r="C166" s="200"/>
      <c r="D166" s="200"/>
      <c r="E166" s="200"/>
      <c r="F166" s="200"/>
      <c r="G166" s="200"/>
      <c r="H166" s="200"/>
      <c r="I166" s="200"/>
      <c r="J166" s="166" t="s">
        <v>464</v>
      </c>
      <c r="K166" s="153">
        <f>L166+M166+N166+O166</f>
        <v>3537.8602999999998</v>
      </c>
      <c r="L166" s="169">
        <v>0</v>
      </c>
      <c r="M166" s="153">
        <v>3537.8602999999998</v>
      </c>
      <c r="N166" s="169">
        <v>0</v>
      </c>
      <c r="O166" s="169">
        <v>0</v>
      </c>
      <c r="P166" s="173"/>
      <c r="Q166" s="151"/>
      <c r="R166" s="31"/>
    </row>
    <row r="167" spans="1:18" ht="117.75" customHeight="1" x14ac:dyDescent="0.35">
      <c r="A167" s="230" t="s">
        <v>308</v>
      </c>
      <c r="B167" s="167" t="s">
        <v>305</v>
      </c>
      <c r="C167" s="167" t="s">
        <v>306</v>
      </c>
      <c r="D167" s="167" t="s">
        <v>373</v>
      </c>
      <c r="E167" s="167" t="s">
        <v>342</v>
      </c>
      <c r="F167" s="167" t="s">
        <v>343</v>
      </c>
      <c r="G167" s="167" t="s">
        <v>354</v>
      </c>
      <c r="H167" s="167" t="s">
        <v>67</v>
      </c>
      <c r="I167" s="167" t="s">
        <v>67</v>
      </c>
      <c r="J167" s="166">
        <v>2022</v>
      </c>
      <c r="K167" s="153">
        <f>K168</f>
        <v>15131.359249999998</v>
      </c>
      <c r="L167" s="169">
        <f t="shared" ref="L167:O167" si="52">L168</f>
        <v>0</v>
      </c>
      <c r="M167" s="153">
        <f t="shared" si="52"/>
        <v>15131.359249999998</v>
      </c>
      <c r="N167" s="169">
        <f t="shared" si="52"/>
        <v>0</v>
      </c>
      <c r="O167" s="169">
        <f t="shared" si="52"/>
        <v>0</v>
      </c>
      <c r="P167" s="173"/>
      <c r="Q167" s="194">
        <f>682+4363.4+959.5+55405.99681+59493.66424+15129.85925</f>
        <v>136034.4203</v>
      </c>
      <c r="R167" s="31"/>
    </row>
    <row r="168" spans="1:18" ht="23.25" customHeight="1" x14ac:dyDescent="0.35">
      <c r="A168" s="232"/>
      <c r="B168" s="167" t="s">
        <v>170</v>
      </c>
      <c r="C168" s="167"/>
      <c r="D168" s="167"/>
      <c r="E168" s="167"/>
      <c r="F168" s="167"/>
      <c r="G168" s="167"/>
      <c r="H168" s="167"/>
      <c r="I168" s="167"/>
      <c r="J168" s="166">
        <v>2022</v>
      </c>
      <c r="K168" s="153">
        <f>L168+M168+N168+O168</f>
        <v>15131.359249999998</v>
      </c>
      <c r="L168" s="169">
        <v>0</v>
      </c>
      <c r="M168" s="153">
        <f>10435.56303+3000+4267-2571-0.20378</f>
        <v>15131.359249999998</v>
      </c>
      <c r="N168" s="169">
        <v>0</v>
      </c>
      <c r="O168" s="169">
        <v>0</v>
      </c>
      <c r="P168" s="173"/>
      <c r="Q168" s="196"/>
      <c r="R168" s="61" t="e">
        <f>M168+M164+M157+M152+M144+#REF!+M136+M128+M170+M175+M178+M183</f>
        <v>#REF!</v>
      </c>
    </row>
    <row r="169" spans="1:18" ht="84" customHeight="1" x14ac:dyDescent="0.35">
      <c r="A169" s="199" t="s">
        <v>309</v>
      </c>
      <c r="B169" s="167" t="s">
        <v>341</v>
      </c>
      <c r="C169" s="167" t="s">
        <v>187</v>
      </c>
      <c r="D169" s="167" t="s">
        <v>355</v>
      </c>
      <c r="E169" s="156" t="s">
        <v>477</v>
      </c>
      <c r="F169" s="167" t="s">
        <v>478</v>
      </c>
      <c r="G169" s="167"/>
      <c r="H169" s="167" t="s">
        <v>67</v>
      </c>
      <c r="I169" s="167" t="s">
        <v>67</v>
      </c>
      <c r="J169" s="166" t="s">
        <v>355</v>
      </c>
      <c r="K169" s="153">
        <f>SUM(K170:K173)</f>
        <v>60806.17727</v>
      </c>
      <c r="L169" s="169">
        <f t="shared" ref="L169:O169" si="53">SUM(L170:L173)</f>
        <v>0</v>
      </c>
      <c r="M169" s="153">
        <f t="shared" si="53"/>
        <v>60806.17727</v>
      </c>
      <c r="N169" s="153">
        <f t="shared" si="53"/>
        <v>0</v>
      </c>
      <c r="O169" s="153">
        <f t="shared" si="53"/>
        <v>0</v>
      </c>
      <c r="P169" s="173"/>
      <c r="Q169" s="194">
        <v>9827.0666399999991</v>
      </c>
      <c r="R169" s="61"/>
    </row>
    <row r="170" spans="1:18" ht="29.25" hidden="1" customHeight="1" x14ac:dyDescent="0.35">
      <c r="A170" s="204"/>
      <c r="B170" s="167" t="s">
        <v>169</v>
      </c>
      <c r="C170" s="105"/>
      <c r="D170" s="105"/>
      <c r="E170" s="105"/>
      <c r="F170" s="105"/>
      <c r="G170" s="105"/>
      <c r="H170" s="105"/>
      <c r="I170" s="105"/>
      <c r="J170" s="166">
        <v>2022</v>
      </c>
      <c r="K170" s="169">
        <f>SUM(L170:O170)</f>
        <v>0</v>
      </c>
      <c r="L170" s="169">
        <v>0</v>
      </c>
      <c r="M170" s="169">
        <v>0</v>
      </c>
      <c r="N170" s="169">
        <v>0</v>
      </c>
      <c r="O170" s="169">
        <v>0</v>
      </c>
      <c r="P170" s="173"/>
      <c r="Q170" s="195"/>
      <c r="R170" s="61"/>
    </row>
    <row r="171" spans="1:18" ht="29.25" customHeight="1" x14ac:dyDescent="0.35">
      <c r="A171" s="204"/>
      <c r="B171" s="167" t="s">
        <v>465</v>
      </c>
      <c r="C171" s="105"/>
      <c r="D171" s="105"/>
      <c r="E171" s="105"/>
      <c r="F171" s="105"/>
      <c r="G171" s="105"/>
      <c r="H171" s="105"/>
      <c r="I171" s="105"/>
      <c r="J171" s="166">
        <v>2023</v>
      </c>
      <c r="K171" s="153">
        <f>SUM(L171:O171)</f>
        <v>1660.9906699999999</v>
      </c>
      <c r="L171" s="169">
        <v>0</v>
      </c>
      <c r="M171" s="153">
        <v>1660.9906699999999</v>
      </c>
      <c r="N171" s="169">
        <v>0</v>
      </c>
      <c r="O171" s="169">
        <v>0</v>
      </c>
      <c r="P171" s="173"/>
      <c r="Q171" s="195"/>
      <c r="R171" s="61"/>
    </row>
    <row r="172" spans="1:18" ht="29.25" customHeight="1" x14ac:dyDescent="0.35">
      <c r="A172" s="204"/>
      <c r="B172" s="199" t="s">
        <v>170</v>
      </c>
      <c r="C172" s="199"/>
      <c r="D172" s="199"/>
      <c r="E172" s="199"/>
      <c r="F172" s="199"/>
      <c r="G172" s="199"/>
      <c r="H172" s="199"/>
      <c r="I172" s="199"/>
      <c r="J172" s="166">
        <v>2023</v>
      </c>
      <c r="K172" s="153">
        <f>L172+M172+N172+O172</f>
        <v>31339.009330000001</v>
      </c>
      <c r="L172" s="169">
        <v>0</v>
      </c>
      <c r="M172" s="153">
        <v>31339.009330000001</v>
      </c>
      <c r="N172" s="169">
        <v>0</v>
      </c>
      <c r="O172" s="169">
        <v>0</v>
      </c>
      <c r="P172" s="173"/>
      <c r="Q172" s="195"/>
      <c r="R172" s="61"/>
    </row>
    <row r="173" spans="1:18" ht="29.25" customHeight="1" x14ac:dyDescent="0.35">
      <c r="A173" s="200"/>
      <c r="B173" s="200"/>
      <c r="C173" s="200"/>
      <c r="D173" s="200"/>
      <c r="E173" s="200"/>
      <c r="F173" s="200"/>
      <c r="G173" s="200"/>
      <c r="H173" s="200"/>
      <c r="I173" s="200"/>
      <c r="J173" s="166" t="s">
        <v>464</v>
      </c>
      <c r="K173" s="153">
        <f>L173+M173+N173+O173</f>
        <v>27806.17727</v>
      </c>
      <c r="L173" s="169">
        <v>0</v>
      </c>
      <c r="M173" s="153">
        <v>27806.17727</v>
      </c>
      <c r="N173" s="169">
        <v>0</v>
      </c>
      <c r="O173" s="169">
        <v>0</v>
      </c>
      <c r="P173" s="173"/>
      <c r="Q173" s="196"/>
      <c r="R173" s="61"/>
    </row>
    <row r="174" spans="1:18" ht="72.75" customHeight="1" x14ac:dyDescent="0.35">
      <c r="A174" s="199" t="s">
        <v>310</v>
      </c>
      <c r="B174" s="167" t="s">
        <v>338</v>
      </c>
      <c r="C174" s="167" t="s">
        <v>187</v>
      </c>
      <c r="D174" s="167" t="s">
        <v>270</v>
      </c>
      <c r="E174" s="156" t="s">
        <v>481</v>
      </c>
      <c r="F174" s="167" t="s">
        <v>482</v>
      </c>
      <c r="G174" s="167"/>
      <c r="H174" s="167" t="s">
        <v>67</v>
      </c>
      <c r="I174" s="167" t="s">
        <v>67</v>
      </c>
      <c r="J174" s="166">
        <v>2023</v>
      </c>
      <c r="K174" s="169">
        <f>SUM(K175:K176)</f>
        <v>30000</v>
      </c>
      <c r="L174" s="169">
        <f t="shared" ref="L174" si="54">SUM(L175:L176)</f>
        <v>0</v>
      </c>
      <c r="M174" s="169">
        <f>SUM(M175:M176)</f>
        <v>30000</v>
      </c>
      <c r="N174" s="169">
        <f t="shared" ref="N174:O174" si="55">SUM(N175:N176)</f>
        <v>0</v>
      </c>
      <c r="O174" s="169">
        <f t="shared" si="55"/>
        <v>0</v>
      </c>
      <c r="P174" s="173"/>
      <c r="Q174" s="213">
        <v>30000</v>
      </c>
      <c r="R174" s="61"/>
    </row>
    <row r="175" spans="1:18" ht="23.25" hidden="1" customHeight="1" x14ac:dyDescent="0.35">
      <c r="A175" s="204"/>
      <c r="B175" s="167" t="s">
        <v>169</v>
      </c>
      <c r="C175" s="105"/>
      <c r="D175" s="105"/>
      <c r="E175" s="105"/>
      <c r="F175" s="105"/>
      <c r="G175" s="105"/>
      <c r="H175" s="105"/>
      <c r="I175" s="105"/>
      <c r="J175" s="166">
        <v>2022</v>
      </c>
      <c r="K175" s="169">
        <f>SUM(L175:O175)</f>
        <v>0</v>
      </c>
      <c r="L175" s="169">
        <v>0</v>
      </c>
      <c r="M175" s="169">
        <v>0</v>
      </c>
      <c r="N175" s="169">
        <v>0</v>
      </c>
      <c r="O175" s="169">
        <v>0</v>
      </c>
      <c r="P175" s="173"/>
      <c r="Q175" s="207"/>
      <c r="R175" s="61"/>
    </row>
    <row r="176" spans="1:18" ht="23.25" customHeight="1" x14ac:dyDescent="0.35">
      <c r="A176" s="200"/>
      <c r="B176" s="167" t="s">
        <v>231</v>
      </c>
      <c r="C176" s="105"/>
      <c r="D176" s="105"/>
      <c r="E176" s="105"/>
      <c r="F176" s="105"/>
      <c r="G176" s="105"/>
      <c r="H176" s="105"/>
      <c r="I176" s="105"/>
      <c r="J176" s="166">
        <v>2023</v>
      </c>
      <c r="K176" s="169">
        <f>SUM(L176:O176)</f>
        <v>30000</v>
      </c>
      <c r="L176" s="169">
        <v>0</v>
      </c>
      <c r="M176" s="169">
        <v>30000</v>
      </c>
      <c r="N176" s="169">
        <v>0</v>
      </c>
      <c r="O176" s="169">
        <v>0</v>
      </c>
      <c r="P176" s="173"/>
      <c r="Q176" s="208"/>
      <c r="R176" s="61"/>
    </row>
    <row r="177" spans="1:19" ht="70.5" customHeight="1" x14ac:dyDescent="0.35">
      <c r="A177" s="199" t="s">
        <v>336</v>
      </c>
      <c r="B177" s="167" t="s">
        <v>339</v>
      </c>
      <c r="C177" s="167" t="s">
        <v>187</v>
      </c>
      <c r="D177" s="167" t="s">
        <v>355</v>
      </c>
      <c r="E177" s="156" t="s">
        <v>479</v>
      </c>
      <c r="F177" s="167" t="s">
        <v>480</v>
      </c>
      <c r="G177" s="167"/>
      <c r="H177" s="167" t="s">
        <v>67</v>
      </c>
      <c r="I177" s="167" t="s">
        <v>67</v>
      </c>
      <c r="J177" s="166" t="s">
        <v>355</v>
      </c>
      <c r="K177" s="153">
        <f>SUM(K178:K181)</f>
        <v>59311.24727</v>
      </c>
      <c r="L177" s="169">
        <f t="shared" ref="L177:O177" si="56">SUM(L178:L181)</f>
        <v>0</v>
      </c>
      <c r="M177" s="153">
        <f t="shared" si="56"/>
        <v>59311.24727</v>
      </c>
      <c r="N177" s="169">
        <f t="shared" si="56"/>
        <v>0</v>
      </c>
      <c r="O177" s="169">
        <f t="shared" si="56"/>
        <v>0</v>
      </c>
      <c r="P177" s="173"/>
      <c r="Q177" s="194">
        <v>9219.3898200000003</v>
      </c>
      <c r="R177" s="61"/>
    </row>
    <row r="178" spans="1:19" ht="23.25" hidden="1" customHeight="1" x14ac:dyDescent="0.35">
      <c r="A178" s="204"/>
      <c r="B178" s="167" t="s">
        <v>169</v>
      </c>
      <c r="C178" s="105"/>
      <c r="D178" s="105"/>
      <c r="E178" s="105"/>
      <c r="F178" s="105"/>
      <c r="G178" s="105"/>
      <c r="H178" s="105"/>
      <c r="I178" s="105"/>
      <c r="J178" s="166">
        <v>2022</v>
      </c>
      <c r="K178" s="169">
        <f>SUM(L178:O178)</f>
        <v>0</v>
      </c>
      <c r="L178" s="169">
        <v>0</v>
      </c>
      <c r="M178" s="169">
        <v>0</v>
      </c>
      <c r="N178" s="169">
        <v>0</v>
      </c>
      <c r="O178" s="169">
        <v>0</v>
      </c>
      <c r="P178" s="173"/>
      <c r="Q178" s="195"/>
      <c r="R178" s="61"/>
    </row>
    <row r="179" spans="1:19" ht="23.25" customHeight="1" x14ac:dyDescent="0.35">
      <c r="A179" s="204"/>
      <c r="B179" s="167" t="s">
        <v>465</v>
      </c>
      <c r="C179" s="105"/>
      <c r="D179" s="105"/>
      <c r="E179" s="105"/>
      <c r="F179" s="105"/>
      <c r="G179" s="105"/>
      <c r="H179" s="105"/>
      <c r="I179" s="105"/>
      <c r="J179" s="166">
        <v>2023</v>
      </c>
      <c r="K179" s="153">
        <f>SUM(L179:O179)</f>
        <v>1693.9981299999999</v>
      </c>
      <c r="L179" s="169">
        <v>0</v>
      </c>
      <c r="M179" s="153">
        <v>1693.9981299999999</v>
      </c>
      <c r="N179" s="169">
        <v>0</v>
      </c>
      <c r="O179" s="169">
        <v>0</v>
      </c>
      <c r="P179" s="173"/>
      <c r="Q179" s="195"/>
      <c r="R179" s="61"/>
    </row>
    <row r="180" spans="1:19" ht="23.25" customHeight="1" x14ac:dyDescent="0.35">
      <c r="A180" s="204"/>
      <c r="B180" s="199" t="s">
        <v>170</v>
      </c>
      <c r="C180" s="199"/>
      <c r="D180" s="199"/>
      <c r="E180" s="199"/>
      <c r="F180" s="199"/>
      <c r="G180" s="199"/>
      <c r="H180" s="199"/>
      <c r="I180" s="199"/>
      <c r="J180" s="166">
        <v>2023</v>
      </c>
      <c r="K180" s="153">
        <f>L180+M180+N180+O180</f>
        <v>31306.00187</v>
      </c>
      <c r="L180" s="169">
        <v>0</v>
      </c>
      <c r="M180" s="153">
        <v>31306.00187</v>
      </c>
      <c r="N180" s="169">
        <v>0</v>
      </c>
      <c r="O180" s="169">
        <v>0</v>
      </c>
      <c r="P180" s="173"/>
      <c r="Q180" s="195"/>
      <c r="R180" s="61"/>
    </row>
    <row r="181" spans="1:19" ht="23.25" customHeight="1" x14ac:dyDescent="0.35">
      <c r="A181" s="200"/>
      <c r="B181" s="200"/>
      <c r="C181" s="200"/>
      <c r="D181" s="200"/>
      <c r="E181" s="200"/>
      <c r="F181" s="200"/>
      <c r="G181" s="200"/>
      <c r="H181" s="200"/>
      <c r="I181" s="200"/>
      <c r="J181" s="166">
        <v>2024</v>
      </c>
      <c r="K181" s="153">
        <f>L181+M181+N181+O181</f>
        <v>26311.24727</v>
      </c>
      <c r="L181" s="169">
        <v>0</v>
      </c>
      <c r="M181" s="153">
        <v>26311.24727</v>
      </c>
      <c r="N181" s="169">
        <v>0</v>
      </c>
      <c r="O181" s="169">
        <v>0</v>
      </c>
      <c r="P181" s="173"/>
      <c r="Q181" s="196"/>
      <c r="R181" s="61"/>
    </row>
    <row r="182" spans="1:19" ht="76" customHeight="1" x14ac:dyDescent="0.35">
      <c r="A182" s="230" t="s">
        <v>337</v>
      </c>
      <c r="B182" s="167" t="s">
        <v>340</v>
      </c>
      <c r="C182" s="167" t="s">
        <v>187</v>
      </c>
      <c r="D182" s="167" t="s">
        <v>270</v>
      </c>
      <c r="E182" s="167" t="s">
        <v>394</v>
      </c>
      <c r="F182" s="167" t="s">
        <v>395</v>
      </c>
      <c r="G182" s="214"/>
      <c r="H182" s="167" t="s">
        <v>67</v>
      </c>
      <c r="I182" s="167" t="s">
        <v>67</v>
      </c>
      <c r="J182" s="166">
        <v>2023</v>
      </c>
      <c r="K182" s="153">
        <f>SUM(K183:K185)</f>
        <v>1699.9120399999993</v>
      </c>
      <c r="L182" s="153">
        <f t="shared" ref="L182:O182" si="57">SUM(L183:L184)</f>
        <v>0</v>
      </c>
      <c r="M182" s="153">
        <f>SUM(M183:M185)</f>
        <v>1699.9120399999993</v>
      </c>
      <c r="N182" s="153">
        <f t="shared" si="57"/>
        <v>0</v>
      </c>
      <c r="O182" s="153">
        <f t="shared" si="57"/>
        <v>0</v>
      </c>
      <c r="P182" s="173"/>
      <c r="Q182" s="276">
        <v>1699.9120399999999</v>
      </c>
      <c r="R182" s="61"/>
    </row>
    <row r="183" spans="1:19" ht="23.25" hidden="1" customHeight="1" x14ac:dyDescent="0.35">
      <c r="A183" s="231"/>
      <c r="B183" s="167" t="s">
        <v>169</v>
      </c>
      <c r="C183" s="81"/>
      <c r="D183" s="81"/>
      <c r="E183" s="81"/>
      <c r="F183" s="81"/>
      <c r="G183" s="214"/>
      <c r="H183" s="81"/>
      <c r="I183" s="81"/>
      <c r="J183" s="166">
        <v>2022</v>
      </c>
      <c r="K183" s="169">
        <f>SUM(L183:O183)</f>
        <v>0</v>
      </c>
      <c r="L183" s="169">
        <v>0</v>
      </c>
      <c r="M183" s="169">
        <v>0</v>
      </c>
      <c r="N183" s="169">
        <v>0</v>
      </c>
      <c r="O183" s="169">
        <v>0</v>
      </c>
      <c r="P183" s="179"/>
      <c r="Q183" s="277"/>
      <c r="R183" s="61"/>
      <c r="S183" s="62"/>
    </row>
    <row r="184" spans="1:19" ht="34" customHeight="1" x14ac:dyDescent="0.35">
      <c r="A184" s="231"/>
      <c r="B184" s="167" t="s">
        <v>169</v>
      </c>
      <c r="C184" s="81"/>
      <c r="D184" s="81"/>
      <c r="E184" s="81"/>
      <c r="F184" s="81"/>
      <c r="G184" s="214"/>
      <c r="H184" s="81"/>
      <c r="I184" s="81"/>
      <c r="J184" s="166">
        <v>2023</v>
      </c>
      <c r="K184" s="153">
        <f>SUM(L184:O184)</f>
        <v>1699.9120399999993</v>
      </c>
      <c r="L184" s="169">
        <v>0</v>
      </c>
      <c r="M184" s="153">
        <f>30000-28300.08796</f>
        <v>1699.9120399999993</v>
      </c>
      <c r="N184" s="169">
        <v>0</v>
      </c>
      <c r="O184" s="169">
        <v>0</v>
      </c>
      <c r="P184" s="179"/>
      <c r="Q184" s="277"/>
      <c r="R184" s="61"/>
      <c r="S184" s="62"/>
    </row>
    <row r="185" spans="1:19" ht="29.7" hidden="1" customHeight="1" x14ac:dyDescent="0.35">
      <c r="A185" s="232"/>
      <c r="B185" s="167" t="s">
        <v>392</v>
      </c>
      <c r="C185" s="106"/>
      <c r="D185" s="106"/>
      <c r="E185" s="106"/>
      <c r="F185" s="106"/>
      <c r="G185" s="214"/>
      <c r="H185" s="106"/>
      <c r="I185" s="106"/>
      <c r="J185" s="166">
        <v>2023</v>
      </c>
      <c r="K185" s="169">
        <f>M185+L185+N185+O185</f>
        <v>0</v>
      </c>
      <c r="L185" s="169">
        <v>0</v>
      </c>
      <c r="M185" s="153">
        <v>0</v>
      </c>
      <c r="N185" s="169">
        <v>0</v>
      </c>
      <c r="O185" s="169">
        <v>0</v>
      </c>
      <c r="P185" s="179"/>
      <c r="Q185" s="278"/>
      <c r="R185" s="61"/>
      <c r="S185" s="62"/>
    </row>
    <row r="186" spans="1:19" ht="18" customHeight="1" x14ac:dyDescent="0.35">
      <c r="A186" s="201" t="s">
        <v>249</v>
      </c>
      <c r="B186" s="202"/>
      <c r="C186" s="202"/>
      <c r="D186" s="202"/>
      <c r="E186" s="202"/>
      <c r="F186" s="202"/>
      <c r="G186" s="202"/>
      <c r="H186" s="202"/>
      <c r="I186" s="202"/>
      <c r="J186" s="202"/>
      <c r="K186" s="202"/>
      <c r="L186" s="202"/>
      <c r="M186" s="202"/>
      <c r="N186" s="202"/>
      <c r="O186" s="202"/>
      <c r="P186" s="202"/>
      <c r="Q186" s="203"/>
      <c r="R186" s="26"/>
      <c r="S186" s="18"/>
    </row>
    <row r="187" spans="1:19" ht="36.75" hidden="1" customHeight="1" x14ac:dyDescent="0.35">
      <c r="A187" s="205" t="s">
        <v>16</v>
      </c>
      <c r="B187" s="205" t="s">
        <v>31</v>
      </c>
      <c r="C187" s="162"/>
      <c r="D187" s="205" t="s">
        <v>33</v>
      </c>
      <c r="E187" s="205" t="s">
        <v>47</v>
      </c>
      <c r="F187" s="205" t="s">
        <v>52</v>
      </c>
      <c r="G187" s="205" t="s">
        <v>46</v>
      </c>
      <c r="H187" s="162"/>
      <c r="I187" s="162"/>
      <c r="J187" s="263">
        <v>2015</v>
      </c>
      <c r="K187" s="218">
        <f>M187+N187</f>
        <v>21651</v>
      </c>
      <c r="L187" s="218"/>
      <c r="M187" s="218">
        <f>10000+15000+25000-28849</f>
        <v>21151</v>
      </c>
      <c r="N187" s="218">
        <v>500</v>
      </c>
      <c r="O187" s="169"/>
      <c r="P187" s="191" t="s">
        <v>21</v>
      </c>
      <c r="Q187" s="199" t="s">
        <v>2</v>
      </c>
      <c r="R187" s="31"/>
    </row>
    <row r="188" spans="1:19" ht="28.5" hidden="1" customHeight="1" x14ac:dyDescent="0.35">
      <c r="A188" s="211"/>
      <c r="B188" s="211"/>
      <c r="C188" s="185"/>
      <c r="D188" s="211"/>
      <c r="E188" s="211"/>
      <c r="F188" s="211"/>
      <c r="G188" s="211"/>
      <c r="H188" s="185"/>
      <c r="I188" s="185"/>
      <c r="J188" s="263"/>
      <c r="K188" s="218"/>
      <c r="L188" s="218"/>
      <c r="M188" s="218"/>
      <c r="N188" s="218"/>
      <c r="O188" s="169"/>
      <c r="P188" s="192"/>
      <c r="Q188" s="204"/>
      <c r="R188" s="31"/>
    </row>
    <row r="189" spans="1:19" ht="29.5" hidden="1" customHeight="1" x14ac:dyDescent="0.35">
      <c r="A189" s="211"/>
      <c r="B189" s="211"/>
      <c r="C189" s="185"/>
      <c r="D189" s="211"/>
      <c r="E189" s="211"/>
      <c r="F189" s="211"/>
      <c r="G189" s="211"/>
      <c r="H189" s="185"/>
      <c r="I189" s="185"/>
      <c r="J189" s="166" t="s">
        <v>35</v>
      </c>
      <c r="K189" s="169">
        <f>M189+N189+L189</f>
        <v>102500</v>
      </c>
      <c r="L189" s="169">
        <v>5000</v>
      </c>
      <c r="M189" s="169">
        <f>50000+47000</f>
        <v>97000</v>
      </c>
      <c r="N189" s="169">
        <v>500</v>
      </c>
      <c r="O189" s="189"/>
      <c r="P189" s="192"/>
      <c r="Q189" s="204"/>
      <c r="R189" s="31"/>
    </row>
    <row r="190" spans="1:19" ht="30.75" hidden="1" customHeight="1" x14ac:dyDescent="0.35">
      <c r="A190" s="211"/>
      <c r="B190" s="211"/>
      <c r="C190" s="185"/>
      <c r="D190" s="211"/>
      <c r="E190" s="211"/>
      <c r="F190" s="211"/>
      <c r="G190" s="211"/>
      <c r="H190" s="185"/>
      <c r="I190" s="185"/>
      <c r="J190" s="82" t="s">
        <v>38</v>
      </c>
      <c r="K190" s="190">
        <f>M190+N190+L190</f>
        <v>104663</v>
      </c>
      <c r="L190" s="155">
        <v>10000</v>
      </c>
      <c r="M190" s="155">
        <f>100000+4163-10000</f>
        <v>94163</v>
      </c>
      <c r="N190" s="155">
        <v>500</v>
      </c>
      <c r="O190" s="189"/>
      <c r="P190" s="212"/>
      <c r="Q190" s="204"/>
      <c r="R190" s="31"/>
    </row>
    <row r="191" spans="1:19" ht="136.5" hidden="1" customHeight="1" x14ac:dyDescent="0.35">
      <c r="A191" s="211"/>
      <c r="B191" s="211"/>
      <c r="C191" s="185"/>
      <c r="D191" s="211"/>
      <c r="E191" s="211"/>
      <c r="F191" s="211"/>
      <c r="G191" s="211"/>
      <c r="H191" s="185"/>
      <c r="I191" s="185"/>
      <c r="J191" s="82">
        <v>2018</v>
      </c>
      <c r="K191" s="190">
        <f>L191+M191+N191</f>
        <v>72605.27</v>
      </c>
      <c r="L191" s="155"/>
      <c r="M191" s="176">
        <f>110000+4840-30427-12344.73</f>
        <v>72068.27</v>
      </c>
      <c r="N191" s="155">
        <v>537</v>
      </c>
      <c r="O191" s="189"/>
      <c r="P191" s="171"/>
      <c r="Q191" s="204"/>
      <c r="R191" s="31"/>
    </row>
    <row r="192" spans="1:19" ht="55.5" hidden="1" customHeight="1" x14ac:dyDescent="0.35">
      <c r="A192" s="206"/>
      <c r="B192" s="206"/>
      <c r="C192" s="163"/>
      <c r="D192" s="206"/>
      <c r="E192" s="206"/>
      <c r="F192" s="206"/>
      <c r="G192" s="206"/>
      <c r="H192" s="163"/>
      <c r="I192" s="163"/>
      <c r="J192" s="82">
        <v>2019</v>
      </c>
      <c r="K192" s="190">
        <f>M192+N192</f>
        <v>0</v>
      </c>
      <c r="L192" s="155"/>
      <c r="M192" s="176">
        <v>0</v>
      </c>
      <c r="N192" s="155">
        <v>0</v>
      </c>
      <c r="O192" s="189"/>
      <c r="P192" s="171"/>
      <c r="Q192" s="200"/>
      <c r="R192" s="51"/>
    </row>
    <row r="193" spans="1:20" ht="35.25" hidden="1" customHeight="1" x14ac:dyDescent="0.35">
      <c r="A193" s="192"/>
      <c r="B193" s="192"/>
      <c r="C193" s="171"/>
      <c r="D193" s="192"/>
      <c r="E193" s="192"/>
      <c r="F193" s="192"/>
      <c r="G193" s="192"/>
      <c r="H193" s="171"/>
      <c r="I193" s="171"/>
      <c r="J193" s="166">
        <v>2019</v>
      </c>
      <c r="K193" s="169">
        <f>L193+M193+N193</f>
        <v>0</v>
      </c>
      <c r="L193" s="169">
        <v>0</v>
      </c>
      <c r="M193" s="169">
        <v>0</v>
      </c>
      <c r="N193" s="169">
        <v>0</v>
      </c>
      <c r="O193" s="169"/>
      <c r="P193" s="219"/>
      <c r="Q193" s="192"/>
      <c r="R193" s="12"/>
    </row>
    <row r="194" spans="1:20" ht="35.25" hidden="1" customHeight="1" x14ac:dyDescent="0.35">
      <c r="A194" s="212"/>
      <c r="B194" s="212"/>
      <c r="C194" s="172"/>
      <c r="D194" s="212"/>
      <c r="E194" s="212"/>
      <c r="F194" s="212"/>
      <c r="G194" s="212"/>
      <c r="H194" s="171"/>
      <c r="I194" s="171"/>
      <c r="J194" s="90">
        <v>2020</v>
      </c>
      <c r="K194" s="154">
        <f>L194+M194+N194</f>
        <v>0</v>
      </c>
      <c r="L194" s="154">
        <v>0</v>
      </c>
      <c r="M194" s="154">
        <v>0</v>
      </c>
      <c r="N194" s="154">
        <v>0</v>
      </c>
      <c r="O194" s="154"/>
      <c r="P194" s="219"/>
      <c r="Q194" s="212"/>
      <c r="R194" s="12"/>
    </row>
    <row r="195" spans="1:20" ht="49" hidden="1" customHeight="1" x14ac:dyDescent="0.35">
      <c r="A195" s="199" t="s">
        <v>129</v>
      </c>
      <c r="B195" s="105" t="s">
        <v>80</v>
      </c>
      <c r="C195" s="167"/>
      <c r="D195" s="105" t="s">
        <v>488</v>
      </c>
      <c r="E195" s="105" t="s">
        <v>59</v>
      </c>
      <c r="F195" s="105" t="s">
        <v>88</v>
      </c>
      <c r="G195" s="105" t="s">
        <v>60</v>
      </c>
      <c r="H195" s="167"/>
      <c r="I195" s="167"/>
      <c r="J195" s="166">
        <v>2014</v>
      </c>
      <c r="K195" s="169">
        <f t="shared" ref="K195" si="58">M195+N195</f>
        <v>6195</v>
      </c>
      <c r="L195" s="169"/>
      <c r="M195" s="169">
        <f>5900</f>
        <v>5900</v>
      </c>
      <c r="N195" s="169">
        <v>295</v>
      </c>
      <c r="O195" s="169"/>
      <c r="P195" s="220" t="s">
        <v>22</v>
      </c>
      <c r="Q195" s="194">
        <f>15000+92966.51865+149343.22546+121269.8601+64040.73593</f>
        <v>442620.34013999999</v>
      </c>
      <c r="R195" s="26"/>
      <c r="S195" s="19"/>
      <c r="T195" s="7"/>
    </row>
    <row r="196" spans="1:20" ht="21.75" hidden="1" customHeight="1" x14ac:dyDescent="0.35">
      <c r="A196" s="204"/>
      <c r="B196" s="105"/>
      <c r="C196" s="167"/>
      <c r="D196" s="105"/>
      <c r="E196" s="105"/>
      <c r="F196" s="105"/>
      <c r="G196" s="105"/>
      <c r="H196" s="167"/>
      <c r="I196" s="167"/>
      <c r="J196" s="166">
        <v>2015</v>
      </c>
      <c r="K196" s="169">
        <f>M196+N196</f>
        <v>250</v>
      </c>
      <c r="L196" s="169"/>
      <c r="M196" s="169">
        <v>0</v>
      </c>
      <c r="N196" s="169">
        <v>250</v>
      </c>
      <c r="O196" s="169"/>
      <c r="P196" s="220"/>
      <c r="Q196" s="195"/>
      <c r="R196" s="26"/>
      <c r="S196" s="19"/>
      <c r="T196" s="7"/>
    </row>
    <row r="197" spans="1:20" ht="36" hidden="1" customHeight="1" x14ac:dyDescent="0.35">
      <c r="A197" s="204"/>
      <c r="B197" s="105"/>
      <c r="C197" s="167"/>
      <c r="D197" s="105"/>
      <c r="E197" s="105"/>
      <c r="F197" s="105"/>
      <c r="G197" s="105"/>
      <c r="H197" s="167"/>
      <c r="I197" s="167"/>
      <c r="J197" s="166">
        <v>2019</v>
      </c>
      <c r="K197" s="169">
        <f>M197+N197</f>
        <v>16752</v>
      </c>
      <c r="L197" s="169"/>
      <c r="M197" s="169">
        <v>15000</v>
      </c>
      <c r="N197" s="169">
        <v>1752</v>
      </c>
      <c r="O197" s="169"/>
      <c r="P197" s="173"/>
      <c r="Q197" s="195"/>
      <c r="R197" s="26"/>
      <c r="S197" s="19"/>
      <c r="T197" s="7"/>
    </row>
    <row r="198" spans="1:20" ht="83.25" customHeight="1" x14ac:dyDescent="0.35">
      <c r="A198" s="204"/>
      <c r="B198" s="167" t="s">
        <v>233</v>
      </c>
      <c r="C198" s="167" t="s">
        <v>194</v>
      </c>
      <c r="D198" s="167" t="s">
        <v>401</v>
      </c>
      <c r="E198" s="167" t="s">
        <v>59</v>
      </c>
      <c r="F198" s="167" t="s">
        <v>88</v>
      </c>
      <c r="G198" s="167" t="s">
        <v>60</v>
      </c>
      <c r="H198" s="167" t="s">
        <v>11</v>
      </c>
      <c r="I198" s="167" t="s">
        <v>11</v>
      </c>
      <c r="J198" s="166" t="s">
        <v>393</v>
      </c>
      <c r="K198" s="153">
        <f>K201+K202+K203</f>
        <v>220539.69568999999</v>
      </c>
      <c r="L198" s="153">
        <f t="shared" ref="L198:O198" si="59">L201+L202+L203</f>
        <v>0</v>
      </c>
      <c r="M198" s="153">
        <f t="shared" si="59"/>
        <v>217487.44794000001</v>
      </c>
      <c r="N198" s="153">
        <f t="shared" si="59"/>
        <v>3052.24775</v>
      </c>
      <c r="O198" s="153">
        <f t="shared" si="59"/>
        <v>0</v>
      </c>
      <c r="P198" s="173"/>
      <c r="Q198" s="195"/>
      <c r="R198" s="50"/>
      <c r="S198" s="19"/>
      <c r="T198" s="7"/>
    </row>
    <row r="199" spans="1:20" ht="34.5" hidden="1" customHeight="1" x14ac:dyDescent="0.35">
      <c r="A199" s="204"/>
      <c r="B199" s="199" t="s">
        <v>170</v>
      </c>
      <c r="C199" s="199"/>
      <c r="D199" s="199"/>
      <c r="E199" s="199"/>
      <c r="F199" s="199"/>
      <c r="G199" s="199"/>
      <c r="H199" s="199"/>
      <c r="I199" s="199"/>
      <c r="J199" s="166">
        <v>2020</v>
      </c>
      <c r="K199" s="153">
        <f t="shared" ref="K199" si="60">M199+N199</f>
        <v>92970.939190000005</v>
      </c>
      <c r="L199" s="169">
        <v>0</v>
      </c>
      <c r="M199" s="153">
        <f>135000-90000+30000+16103.93919</f>
        <v>91103.939190000005</v>
      </c>
      <c r="N199" s="169">
        <v>1867</v>
      </c>
      <c r="O199" s="169">
        <v>0</v>
      </c>
      <c r="P199" s="173"/>
      <c r="Q199" s="195"/>
      <c r="R199" s="50"/>
      <c r="S199" s="19"/>
      <c r="T199" s="7"/>
    </row>
    <row r="200" spans="1:20" ht="34.5" hidden="1" customHeight="1" x14ac:dyDescent="0.35">
      <c r="A200" s="204"/>
      <c r="B200" s="204"/>
      <c r="C200" s="204"/>
      <c r="D200" s="204"/>
      <c r="E200" s="204"/>
      <c r="F200" s="204"/>
      <c r="G200" s="204"/>
      <c r="H200" s="204"/>
      <c r="I200" s="204"/>
      <c r="J200" s="166">
        <v>2021</v>
      </c>
      <c r="K200" s="152">
        <f t="shared" ref="K200" si="61">M200+N200</f>
        <v>227237</v>
      </c>
      <c r="L200" s="169">
        <v>0</v>
      </c>
      <c r="M200" s="152">
        <f>163003+90000-30000+34629.18-32262.18</f>
        <v>225370</v>
      </c>
      <c r="N200" s="169">
        <v>1867</v>
      </c>
      <c r="O200" s="169">
        <v>0</v>
      </c>
      <c r="P200" s="173"/>
      <c r="Q200" s="195"/>
      <c r="R200" s="26"/>
      <c r="S200" s="19"/>
      <c r="T200" s="7"/>
    </row>
    <row r="201" spans="1:20" ht="34.5" customHeight="1" x14ac:dyDescent="0.35">
      <c r="A201" s="204"/>
      <c r="B201" s="204"/>
      <c r="C201" s="204"/>
      <c r="D201" s="204"/>
      <c r="E201" s="204"/>
      <c r="F201" s="204"/>
      <c r="G201" s="204"/>
      <c r="H201" s="204"/>
      <c r="I201" s="204"/>
      <c r="J201" s="166">
        <v>2022</v>
      </c>
      <c r="K201" s="153">
        <f>L201+M201+N201+O201</f>
        <v>121269.86010000001</v>
      </c>
      <c r="L201" s="169">
        <v>0</v>
      </c>
      <c r="M201" s="153">
        <f>32262.18+76026.77454+11768.20556</f>
        <v>120057.16010000001</v>
      </c>
      <c r="N201" s="169">
        <v>1212.7</v>
      </c>
      <c r="O201" s="169">
        <v>0</v>
      </c>
      <c r="P201" s="173"/>
      <c r="Q201" s="195"/>
      <c r="R201" s="26"/>
      <c r="S201" s="19"/>
      <c r="T201" s="7"/>
    </row>
    <row r="202" spans="1:20" ht="34.5" customHeight="1" x14ac:dyDescent="0.35">
      <c r="A202" s="204"/>
      <c r="B202" s="204"/>
      <c r="C202" s="204"/>
      <c r="D202" s="204"/>
      <c r="E202" s="204"/>
      <c r="F202" s="204"/>
      <c r="G202" s="204"/>
      <c r="H202" s="204"/>
      <c r="I202" s="204"/>
      <c r="J202" s="166">
        <v>2023</v>
      </c>
      <c r="K202" s="153">
        <f>L202+M202+N202+O202</f>
        <v>84685.06</v>
      </c>
      <c r="L202" s="169">
        <v>0</v>
      </c>
      <c r="M202" s="153">
        <f>53000+29991.36</f>
        <v>82991.360000000001</v>
      </c>
      <c r="N202" s="169">
        <v>1693.7</v>
      </c>
      <c r="O202" s="169">
        <v>0</v>
      </c>
      <c r="P202" s="173"/>
      <c r="Q202" s="195"/>
      <c r="R202" s="26"/>
      <c r="S202" s="19"/>
      <c r="T202" s="7"/>
    </row>
    <row r="203" spans="1:20" ht="34.5" customHeight="1" x14ac:dyDescent="0.35">
      <c r="A203" s="200"/>
      <c r="B203" s="200"/>
      <c r="C203" s="200"/>
      <c r="D203" s="200"/>
      <c r="E203" s="200"/>
      <c r="F203" s="200"/>
      <c r="G203" s="200"/>
      <c r="H203" s="200"/>
      <c r="I203" s="200"/>
      <c r="J203" s="166" t="s">
        <v>464</v>
      </c>
      <c r="K203" s="153">
        <f>L203+M203+N203+O203</f>
        <v>14584.775590000001</v>
      </c>
      <c r="L203" s="169">
        <v>0</v>
      </c>
      <c r="M203" s="153">
        <f>14349.748+89.17984</f>
        <v>14438.92784</v>
      </c>
      <c r="N203" s="153">
        <v>145.84774999999999</v>
      </c>
      <c r="O203" s="169"/>
      <c r="P203" s="173"/>
      <c r="Q203" s="196"/>
      <c r="R203" s="26"/>
      <c r="S203" s="19"/>
      <c r="T203" s="7"/>
    </row>
    <row r="204" spans="1:20" ht="30.75" hidden="1" customHeight="1" x14ac:dyDescent="0.35">
      <c r="A204" s="205" t="s">
        <v>118</v>
      </c>
      <c r="B204" s="298" t="s">
        <v>195</v>
      </c>
      <c r="C204" s="162"/>
      <c r="D204" s="298" t="s">
        <v>489</v>
      </c>
      <c r="E204" s="298" t="s">
        <v>54</v>
      </c>
      <c r="F204" s="298" t="s">
        <v>91</v>
      </c>
      <c r="G204" s="298" t="s">
        <v>53</v>
      </c>
      <c r="H204" s="162"/>
      <c r="I204" s="162"/>
      <c r="J204" s="166">
        <v>2015</v>
      </c>
      <c r="K204" s="169">
        <f>M204+N204</f>
        <v>4200</v>
      </c>
      <c r="L204" s="169">
        <v>0</v>
      </c>
      <c r="M204" s="169">
        <f>5000-1000</f>
        <v>4000</v>
      </c>
      <c r="N204" s="169">
        <v>200</v>
      </c>
      <c r="O204" s="169"/>
      <c r="P204" s="220" t="s">
        <v>22</v>
      </c>
      <c r="Q204" s="194">
        <f>1642.7+86.5+2098.3+110.5+29216.5+30000+32101.39178+18283.01856</f>
        <v>113538.91034</v>
      </c>
      <c r="R204" s="30"/>
    </row>
    <row r="205" spans="1:20" ht="30.75" hidden="1" customHeight="1" x14ac:dyDescent="0.35">
      <c r="A205" s="211"/>
      <c r="B205" s="107"/>
      <c r="C205" s="185"/>
      <c r="D205" s="107"/>
      <c r="E205" s="107"/>
      <c r="F205" s="107"/>
      <c r="G205" s="107"/>
      <c r="H205" s="185"/>
      <c r="I205" s="185"/>
      <c r="J205" s="166" t="s">
        <v>35</v>
      </c>
      <c r="K205" s="169">
        <f>M205+N205</f>
        <v>3938</v>
      </c>
      <c r="L205" s="169">
        <v>0</v>
      </c>
      <c r="M205" s="169">
        <v>3741</v>
      </c>
      <c r="N205" s="169">
        <v>197</v>
      </c>
      <c r="O205" s="169"/>
      <c r="P205" s="220"/>
      <c r="Q205" s="195"/>
      <c r="R205" s="30"/>
    </row>
    <row r="206" spans="1:20" ht="30.75" hidden="1" customHeight="1" x14ac:dyDescent="0.35">
      <c r="A206" s="211"/>
      <c r="B206" s="107"/>
      <c r="C206" s="185"/>
      <c r="D206" s="107"/>
      <c r="E206" s="107"/>
      <c r="F206" s="107"/>
      <c r="G206" s="107"/>
      <c r="H206" s="185"/>
      <c r="I206" s="185"/>
      <c r="J206" s="166" t="s">
        <v>38</v>
      </c>
      <c r="K206" s="169">
        <f>M206+N206</f>
        <v>2208.7000000000003</v>
      </c>
      <c r="L206" s="169">
        <v>0</v>
      </c>
      <c r="M206" s="169">
        <v>2098.3000000000002</v>
      </c>
      <c r="N206" s="169">
        <v>110.4</v>
      </c>
      <c r="O206" s="169"/>
      <c r="P206" s="173"/>
      <c r="Q206" s="195"/>
      <c r="R206" s="30"/>
    </row>
    <row r="207" spans="1:20" ht="30.75" hidden="1" customHeight="1" x14ac:dyDescent="0.35">
      <c r="A207" s="211"/>
      <c r="B207" s="107"/>
      <c r="C207" s="185"/>
      <c r="D207" s="107"/>
      <c r="E207" s="107"/>
      <c r="F207" s="107"/>
      <c r="G207" s="107"/>
      <c r="H207" s="185"/>
      <c r="I207" s="185"/>
      <c r="J207" s="166">
        <v>2019</v>
      </c>
      <c r="K207" s="169">
        <f>M207+N207</f>
        <v>30433</v>
      </c>
      <c r="L207" s="169">
        <v>0</v>
      </c>
      <c r="M207" s="169">
        <v>30000</v>
      </c>
      <c r="N207" s="169">
        <v>433</v>
      </c>
      <c r="O207" s="169"/>
      <c r="P207" s="173"/>
      <c r="Q207" s="195"/>
      <c r="R207" s="30"/>
    </row>
    <row r="208" spans="1:20" ht="82.5" customHeight="1" x14ac:dyDescent="0.35">
      <c r="A208" s="211"/>
      <c r="B208" s="188" t="s">
        <v>195</v>
      </c>
      <c r="C208" s="188" t="s">
        <v>194</v>
      </c>
      <c r="D208" s="188" t="s">
        <v>468</v>
      </c>
      <c r="E208" s="188" t="s">
        <v>54</v>
      </c>
      <c r="F208" s="188" t="s">
        <v>91</v>
      </c>
      <c r="G208" s="188" t="s">
        <v>53</v>
      </c>
      <c r="H208" s="188" t="s">
        <v>4</v>
      </c>
      <c r="I208" s="188" t="s">
        <v>4</v>
      </c>
      <c r="J208" s="166" t="s">
        <v>393</v>
      </c>
      <c r="K208" s="153">
        <f>K211+K212+K213</f>
        <v>198440.19041000001</v>
      </c>
      <c r="L208" s="152">
        <f t="shared" ref="L208:O208" si="62">L211+L212+L213</f>
        <v>0</v>
      </c>
      <c r="M208" s="153">
        <f t="shared" si="62"/>
        <v>196455.70631000004</v>
      </c>
      <c r="N208" s="153">
        <f t="shared" si="62"/>
        <v>1984.4840999999999</v>
      </c>
      <c r="O208" s="152">
        <f t="shared" si="62"/>
        <v>0</v>
      </c>
      <c r="P208" s="152">
        <f t="shared" ref="P208" si="63">P211</f>
        <v>0</v>
      </c>
      <c r="Q208" s="195"/>
      <c r="R208" s="30"/>
    </row>
    <row r="209" spans="1:18" ht="22.5" hidden="1" customHeight="1" x14ac:dyDescent="0.35">
      <c r="A209" s="211"/>
      <c r="B209" s="205" t="s">
        <v>170</v>
      </c>
      <c r="C209" s="205"/>
      <c r="D209" s="205"/>
      <c r="E209" s="205"/>
      <c r="F209" s="205"/>
      <c r="G209" s="205"/>
      <c r="H209" s="205"/>
      <c r="I209" s="205"/>
      <c r="J209" s="166">
        <v>2020</v>
      </c>
      <c r="K209" s="169">
        <f t="shared" ref="K209" si="64">M209+N209</f>
        <v>30216.5</v>
      </c>
      <c r="L209" s="169">
        <v>0</v>
      </c>
      <c r="M209" s="169">
        <f>60000-30000</f>
        <v>30000</v>
      </c>
      <c r="N209" s="169">
        <f>433-216.5</f>
        <v>216.5</v>
      </c>
      <c r="O209" s="169">
        <v>0</v>
      </c>
      <c r="P209" s="173"/>
      <c r="Q209" s="195"/>
      <c r="R209" s="30"/>
    </row>
    <row r="210" spans="1:18" ht="22.5" hidden="1" customHeight="1" x14ac:dyDescent="0.35">
      <c r="A210" s="211"/>
      <c r="B210" s="211"/>
      <c r="C210" s="211"/>
      <c r="D210" s="211"/>
      <c r="E210" s="211"/>
      <c r="F210" s="211"/>
      <c r="G210" s="211"/>
      <c r="H210" s="211"/>
      <c r="I210" s="211"/>
      <c r="J210" s="166">
        <v>2021</v>
      </c>
      <c r="K210" s="152">
        <f t="shared" ref="K210" si="65">M210+N210</f>
        <v>50602.2</v>
      </c>
      <c r="L210" s="169">
        <v>0</v>
      </c>
      <c r="M210" s="152">
        <f>75196+30000+13439.82-68635.82</f>
        <v>50000</v>
      </c>
      <c r="N210" s="169">
        <v>602.20000000000005</v>
      </c>
      <c r="O210" s="169">
        <v>0</v>
      </c>
      <c r="P210" s="173"/>
      <c r="Q210" s="195"/>
      <c r="R210" s="30"/>
    </row>
    <row r="211" spans="1:18" ht="22.5" customHeight="1" x14ac:dyDescent="0.35">
      <c r="A211" s="211"/>
      <c r="B211" s="211"/>
      <c r="C211" s="211"/>
      <c r="D211" s="211"/>
      <c r="E211" s="211"/>
      <c r="F211" s="211"/>
      <c r="G211" s="211"/>
      <c r="H211" s="211"/>
      <c r="I211" s="211"/>
      <c r="J211" s="166">
        <v>2022</v>
      </c>
      <c r="K211" s="152">
        <f>L211+M211+N211+O211</f>
        <v>89531.22</v>
      </c>
      <c r="L211" s="169">
        <v>0</v>
      </c>
      <c r="M211" s="152">
        <v>88635.82</v>
      </c>
      <c r="N211" s="152">
        <v>895.4</v>
      </c>
      <c r="O211" s="169">
        <v>0</v>
      </c>
      <c r="P211" s="173"/>
      <c r="Q211" s="195"/>
      <c r="R211" s="30"/>
    </row>
    <row r="212" spans="1:18" ht="22.5" customHeight="1" x14ac:dyDescent="0.35">
      <c r="A212" s="211"/>
      <c r="B212" s="211"/>
      <c r="C212" s="211"/>
      <c r="D212" s="211"/>
      <c r="E212" s="211"/>
      <c r="F212" s="211"/>
      <c r="G212" s="211"/>
      <c r="H212" s="211"/>
      <c r="I212" s="211"/>
      <c r="J212" s="166" t="s">
        <v>377</v>
      </c>
      <c r="K212" s="152">
        <f>L212+M212+N212+O212</f>
        <v>63617.56</v>
      </c>
      <c r="L212" s="169">
        <v>0</v>
      </c>
      <c r="M212" s="152">
        <f>56812.39+6169</f>
        <v>62981.39</v>
      </c>
      <c r="N212" s="152">
        <v>636.16999999999996</v>
      </c>
      <c r="O212" s="169">
        <v>0</v>
      </c>
      <c r="P212" s="173"/>
      <c r="Q212" s="195"/>
      <c r="R212" s="30"/>
    </row>
    <row r="213" spans="1:18" ht="22.5" customHeight="1" x14ac:dyDescent="0.35">
      <c r="A213" s="206"/>
      <c r="B213" s="206"/>
      <c r="C213" s="206"/>
      <c r="D213" s="206"/>
      <c r="E213" s="206"/>
      <c r="F213" s="206"/>
      <c r="G213" s="206"/>
      <c r="H213" s="206"/>
      <c r="I213" s="206"/>
      <c r="J213" s="299" t="s">
        <v>464</v>
      </c>
      <c r="K213" s="153">
        <f>L213+M213+N213+O213</f>
        <v>45291.410410000004</v>
      </c>
      <c r="L213" s="169">
        <v>0</v>
      </c>
      <c r="M213" s="153">
        <v>44838.496310000002</v>
      </c>
      <c r="N213" s="153">
        <v>452.91410000000002</v>
      </c>
      <c r="O213" s="169">
        <v>0</v>
      </c>
      <c r="P213" s="173"/>
      <c r="Q213" s="196"/>
      <c r="R213" s="30"/>
    </row>
    <row r="214" spans="1:18" ht="114.75" customHeight="1" x14ac:dyDescent="0.35">
      <c r="A214" s="205" t="s">
        <v>119</v>
      </c>
      <c r="B214" s="163" t="s">
        <v>234</v>
      </c>
      <c r="C214" s="163" t="s">
        <v>194</v>
      </c>
      <c r="D214" s="163" t="s">
        <v>402</v>
      </c>
      <c r="E214" s="163" t="s">
        <v>334</v>
      </c>
      <c r="F214" s="163" t="s">
        <v>335</v>
      </c>
      <c r="G214" s="163"/>
      <c r="H214" s="163" t="s">
        <v>0</v>
      </c>
      <c r="I214" s="163" t="s">
        <v>0</v>
      </c>
      <c r="J214" s="108" t="s">
        <v>403</v>
      </c>
      <c r="K214" s="109">
        <f>K216+K218+K219+K220+K221</f>
        <v>285007.64370000002</v>
      </c>
      <c r="L214" s="109">
        <f t="shared" ref="L214:P214" si="66">L216+L218+L219+L220+L221</f>
        <v>0</v>
      </c>
      <c r="M214" s="109">
        <f t="shared" si="66"/>
        <v>282157.17350000003</v>
      </c>
      <c r="N214" s="109">
        <f t="shared" si="66"/>
        <v>2850.4701999999997</v>
      </c>
      <c r="O214" s="109">
        <f t="shared" si="66"/>
        <v>0</v>
      </c>
      <c r="P214" s="109">
        <f t="shared" si="66"/>
        <v>0</v>
      </c>
      <c r="Q214" s="293">
        <f>168516.5+2262.17575+11154.116207+360.72069</f>
        <v>182293.51264699997</v>
      </c>
      <c r="R214" s="32"/>
    </row>
    <row r="215" spans="1:18" ht="36.75" hidden="1" customHeight="1" x14ac:dyDescent="0.35">
      <c r="A215" s="211"/>
      <c r="B215" s="205" t="s">
        <v>170</v>
      </c>
      <c r="C215" s="205"/>
      <c r="D215" s="205"/>
      <c r="E215" s="205"/>
      <c r="F215" s="205"/>
      <c r="G215" s="205"/>
      <c r="H215" s="205"/>
      <c r="I215" s="205"/>
      <c r="J215" s="108">
        <v>2021</v>
      </c>
      <c r="K215" s="116">
        <f>L215+M215+N215+O215</f>
        <v>2308.3300000000004</v>
      </c>
      <c r="L215" s="110">
        <v>0</v>
      </c>
      <c r="M215" s="116">
        <f>50000-47737.82</f>
        <v>2262.1800000000003</v>
      </c>
      <c r="N215" s="116">
        <v>46.15</v>
      </c>
      <c r="O215" s="110"/>
      <c r="P215" s="111"/>
      <c r="Q215" s="300"/>
      <c r="R215" s="32"/>
    </row>
    <row r="216" spans="1:18" ht="36.75" customHeight="1" x14ac:dyDescent="0.35">
      <c r="A216" s="211"/>
      <c r="B216" s="211"/>
      <c r="C216" s="211"/>
      <c r="D216" s="211"/>
      <c r="E216" s="211"/>
      <c r="F216" s="211"/>
      <c r="G216" s="211"/>
      <c r="H216" s="211"/>
      <c r="I216" s="211"/>
      <c r="J216" s="108">
        <v>2022</v>
      </c>
      <c r="K216" s="109">
        <f>M216+N216</f>
        <v>1538.8839199999991</v>
      </c>
      <c r="L216" s="110">
        <v>0</v>
      </c>
      <c r="M216" s="109">
        <f>17737.82-16214.32608</f>
        <v>1523.493919999999</v>
      </c>
      <c r="N216" s="116">
        <v>15.39</v>
      </c>
      <c r="O216" s="110">
        <v>0</v>
      </c>
      <c r="P216" s="111"/>
      <c r="Q216" s="300"/>
      <c r="R216" s="32"/>
    </row>
    <row r="217" spans="1:18" ht="36.75" hidden="1" customHeight="1" x14ac:dyDescent="0.35">
      <c r="A217" s="206"/>
      <c r="B217" s="211"/>
      <c r="C217" s="211"/>
      <c r="D217" s="211"/>
      <c r="E217" s="211"/>
      <c r="F217" s="211"/>
      <c r="G217" s="211"/>
      <c r="H217" s="211"/>
      <c r="I217" s="211"/>
      <c r="J217" s="108">
        <v>2023</v>
      </c>
      <c r="K217" s="109">
        <f t="shared" ref="K217:K221" si="67">M217+N217</f>
        <v>0</v>
      </c>
      <c r="L217" s="110">
        <v>0</v>
      </c>
      <c r="M217" s="116">
        <v>0</v>
      </c>
      <c r="N217" s="116">
        <v>0</v>
      </c>
      <c r="O217" s="110"/>
      <c r="P217" s="111"/>
      <c r="Q217" s="300"/>
      <c r="R217" s="32"/>
    </row>
    <row r="218" spans="1:18" ht="36.75" customHeight="1" x14ac:dyDescent="0.35">
      <c r="A218" s="185"/>
      <c r="B218" s="211"/>
      <c r="C218" s="211"/>
      <c r="D218" s="211"/>
      <c r="E218" s="211"/>
      <c r="F218" s="211"/>
      <c r="G218" s="211"/>
      <c r="H218" s="211"/>
      <c r="I218" s="211"/>
      <c r="J218" s="108">
        <v>2023</v>
      </c>
      <c r="K218" s="109">
        <f t="shared" si="67"/>
        <v>384.73999999999995</v>
      </c>
      <c r="L218" s="110">
        <v>0</v>
      </c>
      <c r="M218" s="116">
        <v>380.9</v>
      </c>
      <c r="N218" s="116">
        <v>3.84</v>
      </c>
      <c r="O218" s="110">
        <v>0</v>
      </c>
      <c r="P218" s="111"/>
      <c r="Q218" s="300"/>
      <c r="R218" s="32"/>
    </row>
    <row r="219" spans="1:18" ht="36.75" customHeight="1" x14ac:dyDescent="0.35">
      <c r="A219" s="185"/>
      <c r="B219" s="211"/>
      <c r="C219" s="211"/>
      <c r="D219" s="211"/>
      <c r="E219" s="211"/>
      <c r="F219" s="211"/>
      <c r="G219" s="211"/>
      <c r="H219" s="211"/>
      <c r="I219" s="211"/>
      <c r="J219" s="108">
        <v>2024</v>
      </c>
      <c r="K219" s="109">
        <f t="shared" si="67"/>
        <v>60024.019780000002</v>
      </c>
      <c r="L219" s="110">
        <v>0</v>
      </c>
      <c r="M219" s="109">
        <f>59400+23.77958</f>
        <v>59423.779580000002</v>
      </c>
      <c r="N219" s="109">
        <v>600.24019999999996</v>
      </c>
      <c r="O219" s="110">
        <v>0</v>
      </c>
      <c r="P219" s="111"/>
      <c r="Q219" s="300"/>
      <c r="R219" s="32"/>
    </row>
    <row r="220" spans="1:18" ht="36.75" customHeight="1" x14ac:dyDescent="0.35">
      <c r="A220" s="185"/>
      <c r="B220" s="211"/>
      <c r="C220" s="211"/>
      <c r="D220" s="211"/>
      <c r="E220" s="211"/>
      <c r="F220" s="211"/>
      <c r="G220" s="211"/>
      <c r="H220" s="211"/>
      <c r="I220" s="211"/>
      <c r="J220" s="108">
        <v>2025</v>
      </c>
      <c r="K220" s="109">
        <f t="shared" si="67"/>
        <v>180000</v>
      </c>
      <c r="L220" s="110">
        <v>0</v>
      </c>
      <c r="M220" s="116">
        <v>178200</v>
      </c>
      <c r="N220" s="116">
        <v>1800</v>
      </c>
      <c r="O220" s="110">
        <v>0</v>
      </c>
      <c r="P220" s="111"/>
      <c r="Q220" s="300"/>
      <c r="R220" s="32"/>
    </row>
    <row r="221" spans="1:18" ht="36.75" customHeight="1" x14ac:dyDescent="0.35">
      <c r="A221" s="185"/>
      <c r="B221" s="206"/>
      <c r="C221" s="206"/>
      <c r="D221" s="206"/>
      <c r="E221" s="206"/>
      <c r="F221" s="206"/>
      <c r="G221" s="206"/>
      <c r="H221" s="206"/>
      <c r="I221" s="206"/>
      <c r="J221" s="108">
        <v>2026</v>
      </c>
      <c r="K221" s="109">
        <f t="shared" si="67"/>
        <v>43060</v>
      </c>
      <c r="L221" s="110">
        <v>0</v>
      </c>
      <c r="M221" s="116">
        <v>42629</v>
      </c>
      <c r="N221" s="116">
        <v>431</v>
      </c>
      <c r="O221" s="110">
        <v>0</v>
      </c>
      <c r="P221" s="111"/>
      <c r="Q221" s="294"/>
      <c r="R221" s="32"/>
    </row>
    <row r="222" spans="1:18" ht="71.25" customHeight="1" x14ac:dyDescent="0.35">
      <c r="A222" s="205" t="s">
        <v>130</v>
      </c>
      <c r="B222" s="188" t="s">
        <v>81</v>
      </c>
      <c r="C222" s="188" t="s">
        <v>194</v>
      </c>
      <c r="D222" s="188" t="s">
        <v>372</v>
      </c>
      <c r="E222" s="188" t="s">
        <v>82</v>
      </c>
      <c r="F222" s="188" t="s">
        <v>89</v>
      </c>
      <c r="G222" s="188" t="s">
        <v>83</v>
      </c>
      <c r="H222" s="188" t="s">
        <v>9</v>
      </c>
      <c r="I222" s="188" t="s">
        <v>9</v>
      </c>
      <c r="J222" s="108">
        <v>2022</v>
      </c>
      <c r="K222" s="109">
        <f>L222+M222+N222</f>
        <v>32446.451560000001</v>
      </c>
      <c r="L222" s="109">
        <f t="shared" ref="L222:N222" si="68">L223</f>
        <v>0</v>
      </c>
      <c r="M222" s="109">
        <f t="shared" si="68"/>
        <v>32121.951560000001</v>
      </c>
      <c r="N222" s="109">
        <f t="shared" si="68"/>
        <v>324.5</v>
      </c>
      <c r="O222" s="110">
        <v>0</v>
      </c>
      <c r="P222" s="111"/>
      <c r="Q222" s="194">
        <f>27576.632+150254.322+47541.82845</f>
        <v>225372.78245</v>
      </c>
      <c r="R222" s="53"/>
    </row>
    <row r="223" spans="1:18" ht="27.75" customHeight="1" x14ac:dyDescent="0.35">
      <c r="A223" s="211"/>
      <c r="B223" s="162" t="s">
        <v>170</v>
      </c>
      <c r="C223" s="185"/>
      <c r="D223" s="107"/>
      <c r="E223" s="107"/>
      <c r="F223" s="107"/>
      <c r="G223" s="107"/>
      <c r="H223" s="107"/>
      <c r="I223" s="107"/>
      <c r="J223" s="108">
        <v>2022</v>
      </c>
      <c r="K223" s="109">
        <f>L223+M223+N223</f>
        <v>32446.451560000001</v>
      </c>
      <c r="L223" s="110">
        <v>0</v>
      </c>
      <c r="M223" s="109">
        <v>32121.951560000001</v>
      </c>
      <c r="N223" s="110">
        <v>324.5</v>
      </c>
      <c r="O223" s="110">
        <v>0</v>
      </c>
      <c r="P223" s="111"/>
      <c r="Q223" s="195"/>
      <c r="R223" s="53"/>
    </row>
    <row r="224" spans="1:18" ht="81.75" customHeight="1" x14ac:dyDescent="0.35">
      <c r="A224" s="215" t="s">
        <v>131</v>
      </c>
      <c r="B224" s="188" t="s">
        <v>84</v>
      </c>
      <c r="C224" s="188" t="s">
        <v>196</v>
      </c>
      <c r="D224" s="188" t="s">
        <v>69</v>
      </c>
      <c r="E224" s="188" t="s">
        <v>86</v>
      </c>
      <c r="F224" s="188" t="s">
        <v>90</v>
      </c>
      <c r="G224" s="188" t="s">
        <v>87</v>
      </c>
      <c r="H224" s="188" t="s">
        <v>85</v>
      </c>
      <c r="I224" s="188" t="s">
        <v>85</v>
      </c>
      <c r="J224" s="112">
        <v>2022</v>
      </c>
      <c r="K224" s="109">
        <f>K225</f>
        <v>21329.819379999997</v>
      </c>
      <c r="L224" s="109">
        <f t="shared" ref="L224:O224" si="69">L225</f>
        <v>0</v>
      </c>
      <c r="M224" s="109">
        <f t="shared" si="69"/>
        <v>20903.219379999999</v>
      </c>
      <c r="N224" s="110">
        <f t="shared" si="69"/>
        <v>426.6</v>
      </c>
      <c r="O224" s="109">
        <f t="shared" si="69"/>
        <v>0</v>
      </c>
      <c r="P224" s="111"/>
      <c r="Q224" s="194">
        <f>21653.12348+103904.711+21204.46109</f>
        <v>146762.29556999999</v>
      </c>
      <c r="R224" s="53"/>
    </row>
    <row r="225" spans="1:18" ht="24" customHeight="1" x14ac:dyDescent="0.35">
      <c r="A225" s="215"/>
      <c r="B225" s="188" t="s">
        <v>170</v>
      </c>
      <c r="C225" s="113"/>
      <c r="D225" s="113"/>
      <c r="E225" s="113"/>
      <c r="F225" s="113"/>
      <c r="G225" s="113"/>
      <c r="H225" s="113"/>
      <c r="I225" s="113"/>
      <c r="J225" s="112">
        <v>2022</v>
      </c>
      <c r="K225" s="109">
        <f t="shared" ref="K225" si="70">L225+M225+N225</f>
        <v>21329.819379999997</v>
      </c>
      <c r="L225" s="110">
        <v>0</v>
      </c>
      <c r="M225" s="109">
        <f>20905.78938-2.57</f>
        <v>20903.219379999999</v>
      </c>
      <c r="N225" s="110">
        <v>426.6</v>
      </c>
      <c r="O225" s="110">
        <v>0</v>
      </c>
      <c r="P225" s="111"/>
      <c r="Q225" s="195"/>
      <c r="R225" s="53"/>
    </row>
    <row r="226" spans="1:18" ht="66" customHeight="1" x14ac:dyDescent="0.35">
      <c r="A226" s="211" t="s">
        <v>132</v>
      </c>
      <c r="B226" s="163" t="s">
        <v>250</v>
      </c>
      <c r="C226" s="163" t="s">
        <v>194</v>
      </c>
      <c r="D226" s="163" t="s">
        <v>251</v>
      </c>
      <c r="E226" s="163" t="s">
        <v>282</v>
      </c>
      <c r="F226" s="163" t="s">
        <v>283</v>
      </c>
      <c r="G226" s="114"/>
      <c r="H226" s="163" t="s">
        <v>252</v>
      </c>
      <c r="I226" s="163" t="s">
        <v>252</v>
      </c>
      <c r="J226" s="115">
        <v>2022</v>
      </c>
      <c r="K226" s="165">
        <f>K227</f>
        <v>9226.9534800000001</v>
      </c>
      <c r="L226" s="116">
        <f t="shared" ref="L226:O226" si="71">L227</f>
        <v>5502</v>
      </c>
      <c r="M226" s="117">
        <f t="shared" si="71"/>
        <v>2709.97892</v>
      </c>
      <c r="N226" s="109">
        <f t="shared" si="71"/>
        <v>1014.97456</v>
      </c>
      <c r="O226" s="116">
        <f t="shared" si="71"/>
        <v>0</v>
      </c>
      <c r="P226" s="111"/>
      <c r="Q226" s="194">
        <v>9226.9145200000003</v>
      </c>
      <c r="R226" s="53"/>
    </row>
    <row r="227" spans="1:18" ht="24" customHeight="1" x14ac:dyDescent="0.35">
      <c r="A227" s="206"/>
      <c r="B227" s="188" t="s">
        <v>170</v>
      </c>
      <c r="C227" s="113"/>
      <c r="D227" s="113"/>
      <c r="E227" s="113"/>
      <c r="F227" s="113"/>
      <c r="G227" s="113"/>
      <c r="H227" s="113"/>
      <c r="I227" s="113"/>
      <c r="J227" s="112">
        <v>2022</v>
      </c>
      <c r="K227" s="116">
        <f>L227+M227+N227</f>
        <v>9226.9534800000001</v>
      </c>
      <c r="L227" s="110">
        <v>5502</v>
      </c>
      <c r="M227" s="109">
        <v>2709.97892</v>
      </c>
      <c r="N227" s="109">
        <v>1014.97456</v>
      </c>
      <c r="O227" s="110">
        <v>0</v>
      </c>
      <c r="P227" s="111"/>
      <c r="Q227" s="196"/>
      <c r="R227" s="53"/>
    </row>
    <row r="228" spans="1:18" ht="78" hidden="1" customHeight="1" x14ac:dyDescent="0.35">
      <c r="A228" s="205" t="s">
        <v>133</v>
      </c>
      <c r="B228" s="188" t="s">
        <v>299</v>
      </c>
      <c r="C228" s="163" t="s">
        <v>253</v>
      </c>
      <c r="D228" s="163" t="s">
        <v>254</v>
      </c>
      <c r="E228" s="188" t="s">
        <v>284</v>
      </c>
      <c r="F228" s="188" t="s">
        <v>285</v>
      </c>
      <c r="G228" s="113"/>
      <c r="H228" s="163" t="s">
        <v>255</v>
      </c>
      <c r="I228" s="163" t="s">
        <v>255</v>
      </c>
      <c r="J228" s="112">
        <v>2024</v>
      </c>
      <c r="K228" s="110">
        <f>L228+M228+N228+O228+M23</f>
        <v>0</v>
      </c>
      <c r="L228" s="110">
        <f>L229</f>
        <v>0</v>
      </c>
      <c r="M228" s="110">
        <f t="shared" ref="M228:O228" si="72">M229</f>
        <v>0</v>
      </c>
      <c r="N228" s="110">
        <f t="shared" si="72"/>
        <v>0</v>
      </c>
      <c r="O228" s="110">
        <f t="shared" si="72"/>
        <v>0</v>
      </c>
      <c r="P228" s="111"/>
      <c r="Q228" s="213">
        <v>0</v>
      </c>
      <c r="R228" s="53"/>
    </row>
    <row r="229" spans="1:18" ht="24" hidden="1" customHeight="1" x14ac:dyDescent="0.35">
      <c r="A229" s="206"/>
      <c r="B229" s="188" t="s">
        <v>170</v>
      </c>
      <c r="C229" s="113"/>
      <c r="D229" s="113"/>
      <c r="E229" s="188"/>
      <c r="F229" s="188"/>
      <c r="G229" s="113"/>
      <c r="H229" s="113"/>
      <c r="I229" s="113"/>
      <c r="J229" s="112">
        <v>2024</v>
      </c>
      <c r="K229" s="110">
        <f>L229+M229+N229</f>
        <v>0</v>
      </c>
      <c r="L229" s="110">
        <v>0</v>
      </c>
      <c r="M229" s="110">
        <v>0</v>
      </c>
      <c r="N229" s="110">
        <v>0</v>
      </c>
      <c r="O229" s="169">
        <v>0</v>
      </c>
      <c r="P229" s="111"/>
      <c r="Q229" s="208"/>
      <c r="R229" s="53"/>
    </row>
    <row r="230" spans="1:18" ht="65.25" hidden="1" customHeight="1" x14ac:dyDescent="0.35">
      <c r="A230" s="205" t="s">
        <v>311</v>
      </c>
      <c r="B230" s="188" t="s">
        <v>300</v>
      </c>
      <c r="C230" s="163" t="s">
        <v>256</v>
      </c>
      <c r="D230" s="163" t="s">
        <v>254</v>
      </c>
      <c r="E230" s="188" t="s">
        <v>286</v>
      </c>
      <c r="F230" s="188" t="s">
        <v>287</v>
      </c>
      <c r="G230" s="113"/>
      <c r="H230" s="118" t="s">
        <v>257</v>
      </c>
      <c r="I230" s="118" t="s">
        <v>257</v>
      </c>
      <c r="J230" s="112">
        <v>2024</v>
      </c>
      <c r="K230" s="119">
        <f>L230+M230+N230+O230</f>
        <v>0</v>
      </c>
      <c r="L230" s="110">
        <f>L231</f>
        <v>0</v>
      </c>
      <c r="M230" s="110">
        <f t="shared" ref="M230:O230" si="73">M231</f>
        <v>0</v>
      </c>
      <c r="N230" s="110">
        <f t="shared" si="73"/>
        <v>0</v>
      </c>
      <c r="O230" s="110">
        <f t="shared" si="73"/>
        <v>0</v>
      </c>
      <c r="P230" s="111"/>
      <c r="Q230" s="213">
        <v>0</v>
      </c>
      <c r="R230" s="53"/>
    </row>
    <row r="231" spans="1:18" ht="24" hidden="1" customHeight="1" x14ac:dyDescent="0.35">
      <c r="A231" s="206"/>
      <c r="B231" s="188" t="s">
        <v>170</v>
      </c>
      <c r="C231" s="113"/>
      <c r="D231" s="113"/>
      <c r="E231" s="113"/>
      <c r="F231" s="113"/>
      <c r="G231" s="113"/>
      <c r="H231" s="113"/>
      <c r="I231" s="113"/>
      <c r="J231" s="112">
        <v>2024</v>
      </c>
      <c r="K231" s="119">
        <f>L231+M231+N231+O231</f>
        <v>0</v>
      </c>
      <c r="L231" s="110">
        <v>0</v>
      </c>
      <c r="M231" s="110">
        <v>0</v>
      </c>
      <c r="N231" s="119">
        <v>0</v>
      </c>
      <c r="O231" s="169">
        <v>0</v>
      </c>
      <c r="P231" s="111"/>
      <c r="Q231" s="208"/>
      <c r="R231" s="53"/>
    </row>
    <row r="232" spans="1:18" ht="85.5" customHeight="1" x14ac:dyDescent="0.35">
      <c r="A232" s="205" t="s">
        <v>133</v>
      </c>
      <c r="B232" s="188" t="s">
        <v>150</v>
      </c>
      <c r="C232" s="188" t="s">
        <v>197</v>
      </c>
      <c r="D232" s="188" t="s">
        <v>371</v>
      </c>
      <c r="E232" s="188" t="s">
        <v>151</v>
      </c>
      <c r="F232" s="188" t="s">
        <v>152</v>
      </c>
      <c r="G232" s="188" t="s">
        <v>153</v>
      </c>
      <c r="H232" s="188" t="s">
        <v>154</v>
      </c>
      <c r="I232" s="188" t="s">
        <v>154</v>
      </c>
      <c r="J232" s="112">
        <v>2022</v>
      </c>
      <c r="K232" s="109">
        <f>K233</f>
        <v>2243.0844500000003</v>
      </c>
      <c r="L232" s="109">
        <f t="shared" ref="L232:O232" si="74">L233</f>
        <v>0</v>
      </c>
      <c r="M232" s="109">
        <f t="shared" si="74"/>
        <v>2198.1844500000002</v>
      </c>
      <c r="N232" s="109">
        <f t="shared" si="74"/>
        <v>44.9</v>
      </c>
      <c r="O232" s="109">
        <f t="shared" si="74"/>
        <v>0</v>
      </c>
      <c r="P232" s="111"/>
      <c r="Q232" s="194">
        <f>1968.112+100.5+19289.6+37607.9+686.5+13405.1+731.8+7716+19506.58473+4347.05555+1340.79036</f>
        <v>106699.94264000001</v>
      </c>
      <c r="R232" s="53"/>
    </row>
    <row r="233" spans="1:18" ht="30" customHeight="1" x14ac:dyDescent="0.35">
      <c r="A233" s="211"/>
      <c r="B233" s="162" t="s">
        <v>170</v>
      </c>
      <c r="C233" s="162"/>
      <c r="D233" s="162"/>
      <c r="E233" s="162"/>
      <c r="F233" s="162"/>
      <c r="G233" s="162"/>
      <c r="H233" s="162"/>
      <c r="I233" s="162"/>
      <c r="J233" s="120">
        <v>2022</v>
      </c>
      <c r="K233" s="164">
        <f>M233+L233+N233+O233</f>
        <v>2243.0844500000003</v>
      </c>
      <c r="L233" s="121">
        <v>0</v>
      </c>
      <c r="M233" s="164">
        <v>2198.1844500000002</v>
      </c>
      <c r="N233" s="164">
        <v>44.9</v>
      </c>
      <c r="O233" s="154">
        <v>0</v>
      </c>
      <c r="P233" s="122"/>
      <c r="Q233" s="195"/>
      <c r="R233" s="53"/>
    </row>
    <row r="234" spans="1:18" ht="81.45" customHeight="1" x14ac:dyDescent="0.35">
      <c r="A234" s="205" t="s">
        <v>404</v>
      </c>
      <c r="B234" s="143" t="s">
        <v>462</v>
      </c>
      <c r="C234" s="188" t="s">
        <v>194</v>
      </c>
      <c r="D234" s="188" t="s">
        <v>405</v>
      </c>
      <c r="E234" s="188" t="s">
        <v>457</v>
      </c>
      <c r="F234" s="188" t="s">
        <v>458</v>
      </c>
      <c r="G234" s="188"/>
      <c r="H234" s="188" t="s">
        <v>406</v>
      </c>
      <c r="I234" s="188" t="s">
        <v>406</v>
      </c>
      <c r="J234" s="112">
        <v>2026</v>
      </c>
      <c r="K234" s="110">
        <f>K235</f>
        <v>258569.39999999997</v>
      </c>
      <c r="L234" s="110">
        <f t="shared" ref="L234:P234" si="75">L235</f>
        <v>109989.3</v>
      </c>
      <c r="M234" s="110">
        <f t="shared" si="75"/>
        <v>145799.79999999999</v>
      </c>
      <c r="N234" s="110">
        <f t="shared" si="75"/>
        <v>2780.3</v>
      </c>
      <c r="O234" s="110">
        <f t="shared" si="75"/>
        <v>0</v>
      </c>
      <c r="P234" s="109">
        <f t="shared" si="75"/>
        <v>0</v>
      </c>
      <c r="Q234" s="293">
        <v>0</v>
      </c>
      <c r="R234" s="53"/>
    </row>
    <row r="235" spans="1:18" ht="55.95" customHeight="1" x14ac:dyDescent="0.35">
      <c r="A235" s="206"/>
      <c r="B235" s="188" t="s">
        <v>170</v>
      </c>
      <c r="C235" s="188"/>
      <c r="D235" s="188"/>
      <c r="E235" s="188"/>
      <c r="F235" s="188"/>
      <c r="G235" s="188"/>
      <c r="H235" s="188"/>
      <c r="I235" s="188"/>
      <c r="J235" s="112">
        <v>2026</v>
      </c>
      <c r="K235" s="110">
        <f>L235+M235+N235+O235</f>
        <v>258569.39999999997</v>
      </c>
      <c r="L235" s="110">
        <v>109989.3</v>
      </c>
      <c r="M235" s="110">
        <v>145799.79999999999</v>
      </c>
      <c r="N235" s="110">
        <v>2780.3</v>
      </c>
      <c r="O235" s="110">
        <v>0</v>
      </c>
      <c r="P235" s="111"/>
      <c r="Q235" s="294"/>
      <c r="R235" s="53"/>
    </row>
    <row r="236" spans="1:18" ht="93.45" customHeight="1" x14ac:dyDescent="0.35">
      <c r="A236" s="188" t="s">
        <v>407</v>
      </c>
      <c r="B236" s="188" t="s">
        <v>463</v>
      </c>
      <c r="C236" s="188" t="s">
        <v>253</v>
      </c>
      <c r="D236" s="188" t="s">
        <v>405</v>
      </c>
      <c r="E236" s="188" t="s">
        <v>459</v>
      </c>
      <c r="F236" s="188" t="s">
        <v>460</v>
      </c>
      <c r="G236" s="188"/>
      <c r="H236" s="188" t="s">
        <v>255</v>
      </c>
      <c r="I236" s="188" t="s">
        <v>255</v>
      </c>
      <c r="J236" s="112">
        <v>2026</v>
      </c>
      <c r="K236" s="109">
        <f>K237</f>
        <v>97658.878240000005</v>
      </c>
      <c r="L236" s="110">
        <f>L237</f>
        <v>41153.4</v>
      </c>
      <c r="M236" s="110">
        <f t="shared" ref="M236:N236" si="76">M237</f>
        <v>54552.3</v>
      </c>
      <c r="N236" s="110">
        <f t="shared" si="76"/>
        <v>1953.17824</v>
      </c>
      <c r="O236" s="110">
        <v>0</v>
      </c>
      <c r="P236" s="111"/>
      <c r="Q236" s="293">
        <v>0</v>
      </c>
      <c r="R236" s="53"/>
    </row>
    <row r="237" spans="1:18" ht="61" customHeight="1" x14ac:dyDescent="0.35">
      <c r="A237" s="188"/>
      <c r="B237" s="188" t="s">
        <v>170</v>
      </c>
      <c r="C237" s="188"/>
      <c r="D237" s="188"/>
      <c r="E237" s="188"/>
      <c r="F237" s="188"/>
      <c r="G237" s="188"/>
      <c r="H237" s="188"/>
      <c r="I237" s="188"/>
      <c r="J237" s="112">
        <v>2026</v>
      </c>
      <c r="K237" s="109">
        <f>L237+M237+N237+O237</f>
        <v>97658.878240000005</v>
      </c>
      <c r="L237" s="110">
        <v>41153.4</v>
      </c>
      <c r="M237" s="110">
        <v>54552.3</v>
      </c>
      <c r="N237" s="109">
        <v>1953.17824</v>
      </c>
      <c r="O237" s="110">
        <v>0</v>
      </c>
      <c r="P237" s="111"/>
      <c r="Q237" s="294"/>
      <c r="R237" s="53"/>
    </row>
    <row r="238" spans="1:18" ht="86.15" customHeight="1" x14ac:dyDescent="0.35">
      <c r="A238" s="188" t="s">
        <v>469</v>
      </c>
      <c r="B238" s="188" t="s">
        <v>470</v>
      </c>
      <c r="C238" s="188" t="s">
        <v>194</v>
      </c>
      <c r="D238" s="188" t="s">
        <v>471</v>
      </c>
      <c r="E238" s="188" t="s">
        <v>472</v>
      </c>
      <c r="F238" s="188" t="s">
        <v>473</v>
      </c>
      <c r="G238" s="188"/>
      <c r="H238" s="188" t="s">
        <v>474</v>
      </c>
      <c r="I238" s="188" t="s">
        <v>474</v>
      </c>
      <c r="J238" s="112" t="s">
        <v>471</v>
      </c>
      <c r="K238" s="109">
        <f>L238+M238+N238+O238</f>
        <v>399466</v>
      </c>
      <c r="L238" s="109">
        <f>L239+L240</f>
        <v>0</v>
      </c>
      <c r="M238" s="109">
        <f t="shared" ref="M238:O238" si="77">M239+M240</f>
        <v>395471</v>
      </c>
      <c r="N238" s="109">
        <f t="shared" si="77"/>
        <v>3995</v>
      </c>
      <c r="O238" s="109">
        <f t="shared" si="77"/>
        <v>0</v>
      </c>
      <c r="P238" s="111"/>
      <c r="Q238" s="293"/>
      <c r="R238" s="53"/>
    </row>
    <row r="239" spans="1:18" ht="39" customHeight="1" x14ac:dyDescent="0.35">
      <c r="A239" s="205"/>
      <c r="B239" s="205" t="s">
        <v>170</v>
      </c>
      <c r="C239" s="205"/>
      <c r="D239" s="205"/>
      <c r="E239" s="205"/>
      <c r="F239" s="205"/>
      <c r="G239" s="205"/>
      <c r="H239" s="205"/>
      <c r="I239" s="205"/>
      <c r="J239" s="112">
        <v>2024</v>
      </c>
      <c r="K239" s="109">
        <f>L239+M239+N239+O239</f>
        <v>70000</v>
      </c>
      <c r="L239" s="110">
        <v>0</v>
      </c>
      <c r="M239" s="110">
        <v>69300</v>
      </c>
      <c r="N239" s="109">
        <v>700</v>
      </c>
      <c r="O239" s="110">
        <v>0</v>
      </c>
      <c r="P239" s="111"/>
      <c r="Q239" s="300"/>
      <c r="R239" s="53"/>
    </row>
    <row r="240" spans="1:18" ht="39" customHeight="1" x14ac:dyDescent="0.35">
      <c r="A240" s="206"/>
      <c r="B240" s="206"/>
      <c r="C240" s="206"/>
      <c r="D240" s="206"/>
      <c r="E240" s="206"/>
      <c r="F240" s="206"/>
      <c r="G240" s="206"/>
      <c r="H240" s="206"/>
      <c r="I240" s="206"/>
      <c r="J240" s="112">
        <v>2025</v>
      </c>
      <c r="K240" s="109">
        <f>L240+M240+N240+O240</f>
        <v>329466</v>
      </c>
      <c r="L240" s="110">
        <v>0</v>
      </c>
      <c r="M240" s="110">
        <v>326171</v>
      </c>
      <c r="N240" s="110">
        <v>3295</v>
      </c>
      <c r="O240" s="110">
        <v>0</v>
      </c>
      <c r="P240" s="111"/>
      <c r="Q240" s="294"/>
      <c r="R240" s="53"/>
    </row>
    <row r="241" spans="1:18" ht="19.5" customHeight="1" x14ac:dyDescent="0.35">
      <c r="A241" s="201" t="s">
        <v>258</v>
      </c>
      <c r="B241" s="202"/>
      <c r="C241" s="202"/>
      <c r="D241" s="202"/>
      <c r="E241" s="202"/>
      <c r="F241" s="202"/>
      <c r="G241" s="202"/>
      <c r="H241" s="202"/>
      <c r="I241" s="202"/>
      <c r="J241" s="202"/>
      <c r="K241" s="202"/>
      <c r="L241" s="202"/>
      <c r="M241" s="202"/>
      <c r="N241" s="202"/>
      <c r="O241" s="202"/>
      <c r="P241" s="202"/>
      <c r="Q241" s="203"/>
      <c r="R241" s="26"/>
    </row>
    <row r="242" spans="1:18" ht="74.25" customHeight="1" x14ac:dyDescent="0.35">
      <c r="A242" s="199" t="s">
        <v>134</v>
      </c>
      <c r="B242" s="167" t="s">
        <v>92</v>
      </c>
      <c r="C242" s="167" t="s">
        <v>198</v>
      </c>
      <c r="D242" s="167" t="s">
        <v>69</v>
      </c>
      <c r="E242" s="167" t="s">
        <v>93</v>
      </c>
      <c r="F242" s="167" t="s">
        <v>94</v>
      </c>
      <c r="G242" s="167" t="s">
        <v>96</v>
      </c>
      <c r="H242" s="167" t="s">
        <v>95</v>
      </c>
      <c r="I242" s="167" t="s">
        <v>95</v>
      </c>
      <c r="J242" s="166">
        <v>2022</v>
      </c>
      <c r="K242" s="153">
        <f>K243</f>
        <v>91851.709940000001</v>
      </c>
      <c r="L242" s="153">
        <f t="shared" ref="L242:O242" si="78">L243</f>
        <v>0</v>
      </c>
      <c r="M242" s="153">
        <f t="shared" si="78"/>
        <v>81748.021850000005</v>
      </c>
      <c r="N242" s="153">
        <f t="shared" si="78"/>
        <v>10103.68809</v>
      </c>
      <c r="O242" s="153">
        <f t="shared" si="78"/>
        <v>0</v>
      </c>
      <c r="P242" s="173"/>
      <c r="Q242" s="197">
        <f>19273.53832+96401.418+91851.72768</f>
        <v>207526.68400000001</v>
      </c>
      <c r="R242" s="54"/>
    </row>
    <row r="243" spans="1:18" ht="29.25" customHeight="1" x14ac:dyDescent="0.35">
      <c r="A243" s="200"/>
      <c r="B243" s="100" t="s">
        <v>170</v>
      </c>
      <c r="C243" s="100"/>
      <c r="D243" s="100"/>
      <c r="E243" s="100"/>
      <c r="F243" s="100"/>
      <c r="G243" s="100"/>
      <c r="H243" s="100"/>
      <c r="I243" s="100"/>
      <c r="J243" s="166">
        <v>2022</v>
      </c>
      <c r="K243" s="153">
        <f t="shared" ref="K243:K246" si="79">L243+M243+N243+O243</f>
        <v>91851.709940000001</v>
      </c>
      <c r="L243" s="169">
        <v>0</v>
      </c>
      <c r="M243" s="153">
        <f>50140.89379+4493.6+30510.4-2678.9529-717.91904</f>
        <v>81748.021850000005</v>
      </c>
      <c r="N243" s="153">
        <f>10192.41966-88.73157</f>
        <v>10103.68809</v>
      </c>
      <c r="O243" s="169">
        <v>0</v>
      </c>
      <c r="P243" s="173"/>
      <c r="Q243" s="198"/>
      <c r="R243" s="54"/>
    </row>
    <row r="244" spans="1:18" ht="78.75" customHeight="1" x14ac:dyDescent="0.35">
      <c r="A244" s="214" t="s">
        <v>135</v>
      </c>
      <c r="B244" s="100" t="s">
        <v>225</v>
      </c>
      <c r="C244" s="100" t="s">
        <v>226</v>
      </c>
      <c r="D244" s="100" t="s">
        <v>224</v>
      </c>
      <c r="E244" s="100" t="s">
        <v>227</v>
      </c>
      <c r="F244" s="100" t="s">
        <v>228</v>
      </c>
      <c r="G244" s="100"/>
      <c r="H244" s="100" t="s">
        <v>115</v>
      </c>
      <c r="I244" s="100" t="s">
        <v>115</v>
      </c>
      <c r="J244" s="166">
        <v>2022</v>
      </c>
      <c r="K244" s="91">
        <f>K246</f>
        <v>26207.980000000003</v>
      </c>
      <c r="L244" s="169">
        <f t="shared" ref="L244:N244" si="80">L246</f>
        <v>0</v>
      </c>
      <c r="M244" s="169">
        <f t="shared" si="80"/>
        <v>25945.9</v>
      </c>
      <c r="N244" s="91">
        <f t="shared" si="80"/>
        <v>262.08</v>
      </c>
      <c r="O244" s="169">
        <f t="shared" ref="O244:P244" si="81">O245+O246</f>
        <v>0</v>
      </c>
      <c r="P244" s="169">
        <f t="shared" si="81"/>
        <v>0</v>
      </c>
      <c r="Q244" s="213">
        <f>10000+26207.98</f>
        <v>36207.979999999996</v>
      </c>
      <c r="R244" s="54"/>
    </row>
    <row r="245" spans="1:18" ht="29.25" hidden="1" customHeight="1" x14ac:dyDescent="0.35">
      <c r="A245" s="214"/>
      <c r="B245" s="209" t="s">
        <v>170</v>
      </c>
      <c r="C245" s="209"/>
      <c r="D245" s="209"/>
      <c r="E245" s="209"/>
      <c r="F245" s="209"/>
      <c r="G245" s="209"/>
      <c r="H245" s="209"/>
      <c r="I245" s="209"/>
      <c r="J245" s="166">
        <v>2021</v>
      </c>
      <c r="K245" s="169">
        <f t="shared" si="79"/>
        <v>10101</v>
      </c>
      <c r="L245" s="169">
        <v>0</v>
      </c>
      <c r="M245" s="169">
        <v>10000</v>
      </c>
      <c r="N245" s="169">
        <v>101</v>
      </c>
      <c r="O245" s="169">
        <v>0</v>
      </c>
      <c r="P245" s="173"/>
      <c r="Q245" s="207"/>
      <c r="R245" s="54"/>
    </row>
    <row r="246" spans="1:18" ht="29.25" customHeight="1" x14ac:dyDescent="0.35">
      <c r="A246" s="214"/>
      <c r="B246" s="210"/>
      <c r="C246" s="210"/>
      <c r="D246" s="210"/>
      <c r="E246" s="210"/>
      <c r="F246" s="210"/>
      <c r="G246" s="210"/>
      <c r="H246" s="210"/>
      <c r="I246" s="210"/>
      <c r="J246" s="166">
        <v>2022</v>
      </c>
      <c r="K246" s="91">
        <f t="shared" si="79"/>
        <v>26207.980000000003</v>
      </c>
      <c r="L246" s="169">
        <v>0</v>
      </c>
      <c r="M246" s="169">
        <f>23220.9+2725</f>
        <v>25945.9</v>
      </c>
      <c r="N246" s="91">
        <v>262.08</v>
      </c>
      <c r="O246" s="169">
        <v>0</v>
      </c>
      <c r="P246" s="173"/>
      <c r="Q246" s="208"/>
      <c r="R246" s="71"/>
    </row>
    <row r="247" spans="1:18" ht="80.25" hidden="1" customHeight="1" x14ac:dyDescent="0.35">
      <c r="A247" s="199" t="s">
        <v>136</v>
      </c>
      <c r="B247" s="173" t="s">
        <v>301</v>
      </c>
      <c r="C247" s="173" t="s">
        <v>241</v>
      </c>
      <c r="D247" s="173">
        <v>2024</v>
      </c>
      <c r="E247" s="173" t="s">
        <v>276</v>
      </c>
      <c r="F247" s="173" t="s">
        <v>277</v>
      </c>
      <c r="G247" s="173" t="s">
        <v>218</v>
      </c>
      <c r="H247" s="173" t="s">
        <v>242</v>
      </c>
      <c r="I247" s="173" t="s">
        <v>242</v>
      </c>
      <c r="J247" s="180">
        <v>2024</v>
      </c>
      <c r="K247" s="96">
        <f>K248</f>
        <v>0</v>
      </c>
      <c r="L247" s="97">
        <f t="shared" ref="L247:O247" si="82">L248</f>
        <v>0</v>
      </c>
      <c r="M247" s="97">
        <f t="shared" si="82"/>
        <v>0</v>
      </c>
      <c r="N247" s="96">
        <f t="shared" si="82"/>
        <v>0</v>
      </c>
      <c r="O247" s="96">
        <f t="shared" si="82"/>
        <v>0</v>
      </c>
      <c r="P247" s="180"/>
      <c r="Q247" s="216">
        <v>0</v>
      </c>
      <c r="R247" s="54"/>
    </row>
    <row r="248" spans="1:18" ht="29.25" hidden="1" customHeight="1" x14ac:dyDescent="0.35">
      <c r="A248" s="200"/>
      <c r="B248" s="173" t="s">
        <v>170</v>
      </c>
      <c r="C248" s="123"/>
      <c r="D248" s="123"/>
      <c r="E248" s="123"/>
      <c r="F248" s="123"/>
      <c r="G248" s="123"/>
      <c r="H248" s="123"/>
      <c r="I248" s="123"/>
      <c r="J248" s="180">
        <v>2024</v>
      </c>
      <c r="K248" s="96">
        <f>L248+N248+M248</f>
        <v>0</v>
      </c>
      <c r="L248" s="97">
        <v>0</v>
      </c>
      <c r="M248" s="97">
        <v>0</v>
      </c>
      <c r="N248" s="96">
        <v>0</v>
      </c>
      <c r="O248" s="124">
        <v>0</v>
      </c>
      <c r="P248" s="180"/>
      <c r="Q248" s="217"/>
      <c r="R248" s="54"/>
    </row>
    <row r="249" spans="1:18" ht="82.5" hidden="1" customHeight="1" x14ac:dyDescent="0.35">
      <c r="A249" s="204" t="s">
        <v>137</v>
      </c>
      <c r="B249" s="187" t="s">
        <v>302</v>
      </c>
      <c r="C249" s="187" t="s">
        <v>261</v>
      </c>
      <c r="D249" s="163">
        <v>2024</v>
      </c>
      <c r="E249" s="187" t="s">
        <v>290</v>
      </c>
      <c r="F249" s="187" t="s">
        <v>291</v>
      </c>
      <c r="G249" s="187"/>
      <c r="H249" s="187" t="s">
        <v>262</v>
      </c>
      <c r="I249" s="187" t="s">
        <v>262</v>
      </c>
      <c r="J249" s="82">
        <v>2024</v>
      </c>
      <c r="K249" s="147">
        <f t="shared" ref="K249:K258" si="83">L249+M249+N249+O249</f>
        <v>0</v>
      </c>
      <c r="L249" s="155">
        <f>L250</f>
        <v>0</v>
      </c>
      <c r="M249" s="155">
        <f t="shared" ref="M249:P249" si="84">M250</f>
        <v>0</v>
      </c>
      <c r="N249" s="147">
        <f t="shared" si="84"/>
        <v>0</v>
      </c>
      <c r="O249" s="155">
        <f t="shared" si="84"/>
        <v>0</v>
      </c>
      <c r="P249" s="155">
        <f t="shared" si="84"/>
        <v>0</v>
      </c>
      <c r="Q249" s="207">
        <v>0</v>
      </c>
      <c r="R249" s="54"/>
    </row>
    <row r="250" spans="1:18" ht="29.25" hidden="1" customHeight="1" x14ac:dyDescent="0.35">
      <c r="A250" s="200"/>
      <c r="B250" s="187" t="s">
        <v>170</v>
      </c>
      <c r="C250" s="187"/>
      <c r="D250" s="187"/>
      <c r="E250" s="187"/>
      <c r="F250" s="187"/>
      <c r="G250" s="187"/>
      <c r="H250" s="187"/>
      <c r="I250" s="187"/>
      <c r="J250" s="166">
        <v>2024</v>
      </c>
      <c r="K250" s="91">
        <f t="shared" si="83"/>
        <v>0</v>
      </c>
      <c r="L250" s="169">
        <v>0</v>
      </c>
      <c r="M250" s="169">
        <v>0</v>
      </c>
      <c r="N250" s="91">
        <v>0</v>
      </c>
      <c r="O250" s="169">
        <v>0</v>
      </c>
      <c r="P250" s="173"/>
      <c r="Q250" s="208"/>
      <c r="R250" s="54"/>
    </row>
    <row r="251" spans="1:18" ht="92.25" customHeight="1" x14ac:dyDescent="0.35">
      <c r="A251" s="199" t="s">
        <v>136</v>
      </c>
      <c r="B251" s="187" t="s">
        <v>263</v>
      </c>
      <c r="C251" s="187" t="s">
        <v>264</v>
      </c>
      <c r="D251" s="157">
        <v>2022</v>
      </c>
      <c r="E251" s="187" t="s">
        <v>292</v>
      </c>
      <c r="F251" s="187" t="s">
        <v>293</v>
      </c>
      <c r="G251" s="187"/>
      <c r="H251" s="187" t="s">
        <v>265</v>
      </c>
      <c r="I251" s="187" t="s">
        <v>265</v>
      </c>
      <c r="J251" s="166">
        <v>2022</v>
      </c>
      <c r="K251" s="153">
        <f t="shared" si="83"/>
        <v>37782.616390000003</v>
      </c>
      <c r="L251" s="169">
        <f>L252</f>
        <v>24381.3</v>
      </c>
      <c r="M251" s="153">
        <f t="shared" ref="M251:O251" si="85">M252</f>
        <v>12008.731170000001</v>
      </c>
      <c r="N251" s="153">
        <f t="shared" si="85"/>
        <v>367.58521999999999</v>
      </c>
      <c r="O251" s="169">
        <f t="shared" si="85"/>
        <v>1025</v>
      </c>
      <c r="P251" s="173"/>
      <c r="Q251" s="194">
        <v>37782.466310000003</v>
      </c>
      <c r="R251" s="54"/>
    </row>
    <row r="252" spans="1:18" ht="29.25" customHeight="1" x14ac:dyDescent="0.35">
      <c r="A252" s="200"/>
      <c r="B252" s="187" t="s">
        <v>170</v>
      </c>
      <c r="C252" s="187"/>
      <c r="D252" s="187"/>
      <c r="E252" s="187"/>
      <c r="F252" s="187"/>
      <c r="G252" s="187"/>
      <c r="H252" s="187"/>
      <c r="I252" s="187"/>
      <c r="J252" s="166">
        <v>2022</v>
      </c>
      <c r="K252" s="153">
        <f t="shared" si="83"/>
        <v>37782.616390000003</v>
      </c>
      <c r="L252" s="169">
        <f>18601.1+5783.3-3.1</f>
        <v>24381.3</v>
      </c>
      <c r="M252" s="153">
        <f>9161.767+2848.49104-1.52687</f>
        <v>12008.731170000001</v>
      </c>
      <c r="N252" s="153">
        <f>280.433+87.19896-0.04674</f>
        <v>367.58521999999999</v>
      </c>
      <c r="O252" s="169">
        <v>1025</v>
      </c>
      <c r="P252" s="173"/>
      <c r="Q252" s="196"/>
      <c r="R252" s="54"/>
    </row>
    <row r="253" spans="1:18" ht="87.45" customHeight="1" x14ac:dyDescent="0.35">
      <c r="A253" s="199" t="s">
        <v>137</v>
      </c>
      <c r="B253" s="144" t="s">
        <v>415</v>
      </c>
      <c r="C253" s="187" t="s">
        <v>455</v>
      </c>
      <c r="D253" s="157">
        <v>2026</v>
      </c>
      <c r="E253" s="187" t="s">
        <v>454</v>
      </c>
      <c r="F253" s="187" t="s">
        <v>456</v>
      </c>
      <c r="G253" s="187"/>
      <c r="H253" s="187" t="s">
        <v>242</v>
      </c>
      <c r="I253" s="187" t="s">
        <v>242</v>
      </c>
      <c r="J253" s="166">
        <v>2026</v>
      </c>
      <c r="K253" s="153">
        <f>K254</f>
        <v>81240.64959999999</v>
      </c>
      <c r="L253" s="169">
        <f t="shared" ref="L253:O253" si="86">L254</f>
        <v>32138.799999999999</v>
      </c>
      <c r="M253" s="169">
        <f t="shared" si="86"/>
        <v>42602.6</v>
      </c>
      <c r="N253" s="153">
        <f t="shared" si="86"/>
        <v>6499.2496000000001</v>
      </c>
      <c r="O253" s="169">
        <f t="shared" si="86"/>
        <v>0</v>
      </c>
      <c r="P253" s="173"/>
      <c r="Q253" s="194">
        <v>0</v>
      </c>
      <c r="R253" s="54"/>
    </row>
    <row r="254" spans="1:18" ht="58" customHeight="1" x14ac:dyDescent="0.35">
      <c r="A254" s="200"/>
      <c r="B254" s="187" t="s">
        <v>170</v>
      </c>
      <c r="C254" s="187"/>
      <c r="D254" s="187"/>
      <c r="E254" s="187"/>
      <c r="F254" s="187"/>
      <c r="G254" s="187"/>
      <c r="H254" s="187"/>
      <c r="I254" s="187"/>
      <c r="J254" s="166">
        <v>2026</v>
      </c>
      <c r="K254" s="153">
        <f>L254+M254+N254+O254</f>
        <v>81240.64959999999</v>
      </c>
      <c r="L254" s="169">
        <v>32138.799999999999</v>
      </c>
      <c r="M254" s="169">
        <v>42602.6</v>
      </c>
      <c r="N254" s="153">
        <v>6499.2496000000001</v>
      </c>
      <c r="O254" s="169">
        <v>0</v>
      </c>
      <c r="P254" s="173"/>
      <c r="Q254" s="196"/>
      <c r="R254" s="54"/>
    </row>
    <row r="255" spans="1:18" ht="90.45" customHeight="1" x14ac:dyDescent="0.35">
      <c r="A255" s="199" t="s">
        <v>413</v>
      </c>
      <c r="B255" s="187" t="s">
        <v>412</v>
      </c>
      <c r="C255" s="187" t="s">
        <v>451</v>
      </c>
      <c r="D255" s="157">
        <v>2025</v>
      </c>
      <c r="E255" s="187" t="s">
        <v>449</v>
      </c>
      <c r="F255" s="187" t="s">
        <v>450</v>
      </c>
      <c r="G255" s="187"/>
      <c r="H255" s="187" t="s">
        <v>411</v>
      </c>
      <c r="I255" s="187" t="s">
        <v>411</v>
      </c>
      <c r="J255" s="166">
        <v>2025</v>
      </c>
      <c r="K255" s="153">
        <f>K256</f>
        <v>31783.36764</v>
      </c>
      <c r="L255" s="169">
        <f t="shared" ref="L255:N255" si="87">L256</f>
        <v>20869</v>
      </c>
      <c r="M255" s="169">
        <f t="shared" si="87"/>
        <v>10278.700000000001</v>
      </c>
      <c r="N255" s="153">
        <f t="shared" si="87"/>
        <v>635.66764000000001</v>
      </c>
      <c r="O255" s="153">
        <f>O256</f>
        <v>0</v>
      </c>
      <c r="P255" s="173"/>
      <c r="Q255" s="194">
        <v>0</v>
      </c>
      <c r="R255" s="54"/>
    </row>
    <row r="256" spans="1:18" ht="44.7" customHeight="1" x14ac:dyDescent="0.35">
      <c r="A256" s="200"/>
      <c r="B256" s="187" t="s">
        <v>170</v>
      </c>
      <c r="C256" s="187"/>
      <c r="D256" s="187"/>
      <c r="E256" s="187"/>
      <c r="F256" s="187"/>
      <c r="G256" s="187"/>
      <c r="H256" s="187"/>
      <c r="I256" s="187"/>
      <c r="J256" s="166">
        <v>2025</v>
      </c>
      <c r="K256" s="153">
        <f>L256+M256+N256+O256</f>
        <v>31783.36764</v>
      </c>
      <c r="L256" s="169">
        <v>20869</v>
      </c>
      <c r="M256" s="169">
        <v>10278.700000000001</v>
      </c>
      <c r="N256" s="153">
        <v>635.66764000000001</v>
      </c>
      <c r="O256" s="169">
        <v>0</v>
      </c>
      <c r="P256" s="173"/>
      <c r="Q256" s="196"/>
      <c r="R256" s="54"/>
    </row>
    <row r="257" spans="1:24" ht="84" customHeight="1" x14ac:dyDescent="0.35">
      <c r="A257" s="199" t="s">
        <v>414</v>
      </c>
      <c r="B257" s="187" t="s">
        <v>409</v>
      </c>
      <c r="C257" s="187" t="s">
        <v>446</v>
      </c>
      <c r="D257" s="157" t="s">
        <v>360</v>
      </c>
      <c r="E257" s="187" t="s">
        <v>447</v>
      </c>
      <c r="F257" s="187" t="s">
        <v>448</v>
      </c>
      <c r="G257" s="187"/>
      <c r="H257" s="187" t="s">
        <v>410</v>
      </c>
      <c r="I257" s="187" t="s">
        <v>410</v>
      </c>
      <c r="J257" s="166">
        <v>2025</v>
      </c>
      <c r="K257" s="153">
        <f t="shared" si="83"/>
        <v>30630.2</v>
      </c>
      <c r="L257" s="169">
        <f>L258</f>
        <v>20111.7</v>
      </c>
      <c r="M257" s="169">
        <f t="shared" ref="M257:O257" si="88">M258</f>
        <v>9905.7999999999993</v>
      </c>
      <c r="N257" s="153">
        <f t="shared" si="88"/>
        <v>612.70000000000005</v>
      </c>
      <c r="O257" s="99">
        <f t="shared" si="88"/>
        <v>0</v>
      </c>
      <c r="P257" s="173"/>
      <c r="Q257" s="213">
        <v>0</v>
      </c>
      <c r="R257" s="54"/>
    </row>
    <row r="258" spans="1:24" ht="29.25" customHeight="1" x14ac:dyDescent="0.35">
      <c r="A258" s="200"/>
      <c r="B258" s="187" t="s">
        <v>170</v>
      </c>
      <c r="C258" s="187"/>
      <c r="D258" s="187"/>
      <c r="E258" s="187"/>
      <c r="F258" s="187"/>
      <c r="G258" s="187"/>
      <c r="H258" s="187"/>
      <c r="I258" s="187"/>
      <c r="J258" s="166">
        <v>2025</v>
      </c>
      <c r="K258" s="153">
        <f t="shared" si="83"/>
        <v>30630.2</v>
      </c>
      <c r="L258" s="169">
        <v>20111.7</v>
      </c>
      <c r="M258" s="99">
        <v>9905.7999999999993</v>
      </c>
      <c r="N258" s="153">
        <v>612.70000000000005</v>
      </c>
      <c r="O258" s="169">
        <v>0</v>
      </c>
      <c r="P258" s="173"/>
      <c r="Q258" s="208"/>
      <c r="R258" s="54"/>
    </row>
    <row r="259" spans="1:24" ht="76.75" customHeight="1" x14ac:dyDescent="0.35">
      <c r="A259" s="199" t="s">
        <v>149</v>
      </c>
      <c r="B259" s="187" t="s">
        <v>475</v>
      </c>
      <c r="C259" s="187" t="s">
        <v>261</v>
      </c>
      <c r="D259" s="157">
        <v>2024</v>
      </c>
      <c r="E259" s="187" t="s">
        <v>290</v>
      </c>
      <c r="F259" s="187" t="s">
        <v>291</v>
      </c>
      <c r="G259" s="187"/>
      <c r="H259" s="187" t="s">
        <v>262</v>
      </c>
      <c r="I259" s="187" t="s">
        <v>262</v>
      </c>
      <c r="J259" s="166">
        <v>2024</v>
      </c>
      <c r="K259" s="153">
        <f>L259+M259+N259+O259</f>
        <v>38394.5</v>
      </c>
      <c r="L259" s="169">
        <f>L260</f>
        <v>0</v>
      </c>
      <c r="M259" s="152">
        <v>35322.94</v>
      </c>
      <c r="N259" s="152">
        <v>3071.56</v>
      </c>
      <c r="O259" s="169">
        <f t="shared" ref="O259" si="89">O260</f>
        <v>0</v>
      </c>
      <c r="P259" s="173"/>
      <c r="Q259" s="213"/>
      <c r="R259" s="54"/>
    </row>
    <row r="260" spans="1:24" ht="29.25" customHeight="1" x14ac:dyDescent="0.35">
      <c r="A260" s="200"/>
      <c r="B260" s="187" t="s">
        <v>170</v>
      </c>
      <c r="C260" s="187"/>
      <c r="D260" s="187"/>
      <c r="E260" s="187"/>
      <c r="F260" s="187"/>
      <c r="G260" s="187"/>
      <c r="H260" s="187"/>
      <c r="I260" s="187"/>
      <c r="J260" s="166">
        <v>2024</v>
      </c>
      <c r="K260" s="152">
        <f>L260+M260+N260+O260</f>
        <v>38394.5</v>
      </c>
      <c r="L260" s="169">
        <v>0</v>
      </c>
      <c r="M260" s="99">
        <v>35322.94</v>
      </c>
      <c r="N260" s="152">
        <v>3071.56</v>
      </c>
      <c r="O260" s="169">
        <v>0</v>
      </c>
      <c r="P260" s="173"/>
      <c r="Q260" s="208"/>
      <c r="R260" s="54"/>
    </row>
    <row r="261" spans="1:24" ht="19.5" customHeight="1" x14ac:dyDescent="0.35">
      <c r="A261" s="201" t="s">
        <v>267</v>
      </c>
      <c r="B261" s="202"/>
      <c r="C261" s="202"/>
      <c r="D261" s="202"/>
      <c r="E261" s="202"/>
      <c r="F261" s="202"/>
      <c r="G261" s="202"/>
      <c r="H261" s="202"/>
      <c r="I261" s="202"/>
      <c r="J261" s="202"/>
      <c r="K261" s="202"/>
      <c r="L261" s="202"/>
      <c r="M261" s="202"/>
      <c r="N261" s="202"/>
      <c r="O261" s="202"/>
      <c r="P261" s="202"/>
      <c r="Q261" s="203"/>
      <c r="R261" s="26"/>
    </row>
    <row r="262" spans="1:24" s="7" customFormat="1" ht="1.5" customHeight="1" x14ac:dyDescent="0.35">
      <c r="A262" s="157"/>
      <c r="B262" s="183"/>
      <c r="C262" s="183"/>
      <c r="D262" s="183"/>
      <c r="E262" s="183"/>
      <c r="F262" s="183"/>
      <c r="G262" s="183"/>
      <c r="H262" s="183"/>
      <c r="I262" s="183"/>
      <c r="J262" s="82"/>
      <c r="K262" s="155"/>
      <c r="L262" s="155"/>
      <c r="M262" s="155"/>
      <c r="N262" s="155"/>
      <c r="O262" s="155"/>
      <c r="P262" s="172"/>
      <c r="Q262" s="172"/>
      <c r="R262" s="32"/>
      <c r="S262" s="269"/>
      <c r="T262" s="269"/>
      <c r="V262" s="8"/>
    </row>
    <row r="263" spans="1:24" s="7" customFormat="1" ht="42.65" hidden="1" customHeight="1" x14ac:dyDescent="0.35">
      <c r="A263" s="199" t="s">
        <v>142</v>
      </c>
      <c r="B263" s="214" t="s">
        <v>202</v>
      </c>
      <c r="C263" s="167"/>
      <c r="D263" s="214" t="s">
        <v>346</v>
      </c>
      <c r="E263" s="214" t="s">
        <v>15</v>
      </c>
      <c r="F263" s="214"/>
      <c r="G263" s="214"/>
      <c r="H263" s="167"/>
      <c r="I263" s="167"/>
      <c r="J263" s="263">
        <v>2017</v>
      </c>
      <c r="K263" s="218">
        <f>M263+N263</f>
        <v>1219.0999999999999</v>
      </c>
      <c r="L263" s="218"/>
      <c r="M263" s="218">
        <f>788+300</f>
        <v>1088</v>
      </c>
      <c r="N263" s="218">
        <v>131.1</v>
      </c>
      <c r="O263" s="218"/>
      <c r="P263" s="220" t="s">
        <v>23</v>
      </c>
      <c r="Q263" s="213" t="s">
        <v>168</v>
      </c>
      <c r="R263" s="31"/>
      <c r="S263" s="19"/>
      <c r="V263" s="8"/>
      <c r="W263" s="9"/>
      <c r="X263" s="9"/>
    </row>
    <row r="264" spans="1:24" s="7" customFormat="1" ht="0.75" hidden="1" customHeight="1" x14ac:dyDescent="0.35">
      <c r="A264" s="204"/>
      <c r="B264" s="214"/>
      <c r="C264" s="167"/>
      <c r="D264" s="214"/>
      <c r="E264" s="214"/>
      <c r="F264" s="214"/>
      <c r="G264" s="214"/>
      <c r="H264" s="167"/>
      <c r="I264" s="167"/>
      <c r="J264" s="263"/>
      <c r="K264" s="218"/>
      <c r="L264" s="218"/>
      <c r="M264" s="218"/>
      <c r="N264" s="218"/>
      <c r="O264" s="218"/>
      <c r="P264" s="220"/>
      <c r="Q264" s="207"/>
      <c r="R264" s="31"/>
      <c r="S264" s="19"/>
      <c r="V264" s="8"/>
      <c r="W264" s="9"/>
      <c r="X264" s="9"/>
    </row>
    <row r="265" spans="1:24" s="7" customFormat="1" ht="30" hidden="1" customHeight="1" x14ac:dyDescent="0.35">
      <c r="A265" s="204"/>
      <c r="B265" s="214"/>
      <c r="C265" s="167"/>
      <c r="D265" s="214"/>
      <c r="E265" s="214"/>
      <c r="F265" s="214"/>
      <c r="G265" s="214"/>
      <c r="H265" s="167"/>
      <c r="I265" s="167"/>
      <c r="J265" s="263"/>
      <c r="K265" s="218"/>
      <c r="L265" s="218"/>
      <c r="M265" s="218"/>
      <c r="N265" s="218"/>
      <c r="O265" s="218"/>
      <c r="P265" s="220"/>
      <c r="Q265" s="207"/>
      <c r="R265" s="31"/>
      <c r="S265" s="19"/>
      <c r="V265" s="8"/>
      <c r="W265" s="9"/>
      <c r="X265" s="9"/>
    </row>
    <row r="266" spans="1:24" s="7" customFormat="1" ht="118.5" hidden="1" customHeight="1" x14ac:dyDescent="0.35">
      <c r="A266" s="204"/>
      <c r="B266" s="214"/>
      <c r="C266" s="167" t="s">
        <v>201</v>
      </c>
      <c r="D266" s="214"/>
      <c r="E266" s="214"/>
      <c r="F266" s="214"/>
      <c r="G266" s="214"/>
      <c r="H266" s="167" t="s">
        <v>19</v>
      </c>
      <c r="I266" s="167" t="s">
        <v>19</v>
      </c>
      <c r="J266" s="166" t="s">
        <v>347</v>
      </c>
      <c r="K266" s="169">
        <f>M266+N266</f>
        <v>1219.0999999999999</v>
      </c>
      <c r="L266" s="169">
        <v>0</v>
      </c>
      <c r="M266" s="169">
        <f>3000-1912</f>
        <v>1088</v>
      </c>
      <c r="N266" s="169">
        <v>131.1</v>
      </c>
      <c r="O266" s="169">
        <v>0</v>
      </c>
      <c r="P266" s="173"/>
      <c r="Q266" s="207"/>
      <c r="R266" s="31"/>
      <c r="S266" s="19"/>
      <c r="V266" s="8"/>
      <c r="W266" s="9"/>
      <c r="X266" s="9"/>
    </row>
    <row r="267" spans="1:24" s="7" customFormat="1" ht="26.25" hidden="1" customHeight="1" x14ac:dyDescent="0.35">
      <c r="A267" s="200"/>
      <c r="B267" s="167" t="s">
        <v>203</v>
      </c>
      <c r="C267" s="167"/>
      <c r="D267" s="167"/>
      <c r="E267" s="167"/>
      <c r="F267" s="167"/>
      <c r="G267" s="167"/>
      <c r="H267" s="167"/>
      <c r="I267" s="167"/>
      <c r="J267" s="166" t="s">
        <v>347</v>
      </c>
      <c r="K267" s="169">
        <f>M267+N267</f>
        <v>1219.0999999999999</v>
      </c>
      <c r="L267" s="169">
        <v>0</v>
      </c>
      <c r="M267" s="169">
        <f>3000-1912</f>
        <v>1088</v>
      </c>
      <c r="N267" s="169">
        <v>131.1</v>
      </c>
      <c r="O267" s="169">
        <v>0</v>
      </c>
      <c r="P267" s="173"/>
      <c r="Q267" s="208"/>
      <c r="R267" s="31"/>
      <c r="S267" s="19"/>
      <c r="V267" s="8"/>
      <c r="W267" s="9"/>
      <c r="X267" s="9"/>
    </row>
    <row r="268" spans="1:24" s="7" customFormat="1" ht="40.5" hidden="1" customHeight="1" x14ac:dyDescent="0.35">
      <c r="A268" s="214" t="s">
        <v>143</v>
      </c>
      <c r="B268" s="214" t="s">
        <v>205</v>
      </c>
      <c r="C268" s="167"/>
      <c r="D268" s="214" t="s">
        <v>346</v>
      </c>
      <c r="E268" s="214" t="s">
        <v>15</v>
      </c>
      <c r="F268" s="214"/>
      <c r="G268" s="214"/>
      <c r="H268" s="167"/>
      <c r="I268" s="167"/>
      <c r="J268" s="263">
        <v>2017</v>
      </c>
      <c r="K268" s="218">
        <f>L269+M268+N268</f>
        <v>1364.9</v>
      </c>
      <c r="L268" s="218"/>
      <c r="M268" s="218">
        <f>932+300</f>
        <v>1232</v>
      </c>
      <c r="N268" s="218">
        <v>132.9</v>
      </c>
      <c r="O268" s="218"/>
      <c r="P268" s="263" t="s">
        <v>24</v>
      </c>
      <c r="Q268" s="218">
        <v>0</v>
      </c>
      <c r="R268" s="33"/>
      <c r="S268" s="19"/>
      <c r="V268" s="8"/>
      <c r="W268" s="9"/>
      <c r="X268" s="9"/>
    </row>
    <row r="269" spans="1:24" s="7" customFormat="1" ht="18" hidden="1" customHeight="1" x14ac:dyDescent="0.35">
      <c r="A269" s="214"/>
      <c r="B269" s="214"/>
      <c r="C269" s="167"/>
      <c r="D269" s="214"/>
      <c r="E269" s="214"/>
      <c r="F269" s="214"/>
      <c r="G269" s="214"/>
      <c r="H269" s="167"/>
      <c r="I269" s="167"/>
      <c r="J269" s="263"/>
      <c r="K269" s="218"/>
      <c r="L269" s="218"/>
      <c r="M269" s="218"/>
      <c r="N269" s="218"/>
      <c r="O269" s="218"/>
      <c r="P269" s="263"/>
      <c r="Q269" s="218"/>
      <c r="R269" s="33"/>
      <c r="S269" s="19"/>
      <c r="V269" s="8"/>
      <c r="W269" s="9"/>
      <c r="X269" s="9"/>
    </row>
    <row r="270" spans="1:24" s="7" customFormat="1" ht="28.5" hidden="1" customHeight="1" x14ac:dyDescent="0.35">
      <c r="A270" s="214"/>
      <c r="B270" s="214"/>
      <c r="C270" s="167"/>
      <c r="D270" s="214"/>
      <c r="E270" s="214"/>
      <c r="F270" s="214"/>
      <c r="G270" s="214"/>
      <c r="H270" s="167"/>
      <c r="I270" s="167"/>
      <c r="J270" s="263"/>
      <c r="K270" s="218"/>
      <c r="L270" s="218"/>
      <c r="M270" s="218"/>
      <c r="N270" s="218"/>
      <c r="O270" s="218"/>
      <c r="P270" s="263"/>
      <c r="Q270" s="218"/>
      <c r="R270" s="33"/>
      <c r="S270" s="19"/>
      <c r="V270" s="8"/>
      <c r="W270" s="9"/>
      <c r="X270" s="9"/>
    </row>
    <row r="271" spans="1:24" s="7" customFormat="1" ht="61.5" hidden="1" customHeight="1" x14ac:dyDescent="0.35">
      <c r="A271" s="214"/>
      <c r="B271" s="214"/>
      <c r="C271" s="167" t="s">
        <v>204</v>
      </c>
      <c r="D271" s="214"/>
      <c r="E271" s="214"/>
      <c r="F271" s="214"/>
      <c r="G271" s="214"/>
      <c r="H271" s="167" t="s">
        <v>19</v>
      </c>
      <c r="I271" s="167" t="s">
        <v>19</v>
      </c>
      <c r="J271" s="166" t="s">
        <v>347</v>
      </c>
      <c r="K271" s="169">
        <f>M271+N271</f>
        <v>1364.9</v>
      </c>
      <c r="L271" s="169">
        <v>0</v>
      </c>
      <c r="M271" s="169">
        <v>1232</v>
      </c>
      <c r="N271" s="169">
        <v>132.9</v>
      </c>
      <c r="O271" s="169">
        <v>0</v>
      </c>
      <c r="P271" s="166"/>
      <c r="Q271" s="218"/>
      <c r="R271" s="33"/>
      <c r="S271" s="19"/>
      <c r="V271" s="8"/>
      <c r="W271" s="9"/>
      <c r="X271" s="9"/>
    </row>
    <row r="272" spans="1:24" s="7" customFormat="1" ht="21" hidden="1" customHeight="1" x14ac:dyDescent="0.35">
      <c r="A272" s="214"/>
      <c r="B272" s="167" t="s">
        <v>203</v>
      </c>
      <c r="C272" s="167"/>
      <c r="D272" s="167"/>
      <c r="E272" s="167"/>
      <c r="F272" s="167"/>
      <c r="G272" s="167"/>
      <c r="H272" s="167"/>
      <c r="I272" s="167"/>
      <c r="J272" s="166" t="s">
        <v>347</v>
      </c>
      <c r="K272" s="169">
        <f>M272+N272</f>
        <v>1364.9</v>
      </c>
      <c r="L272" s="169">
        <v>0</v>
      </c>
      <c r="M272" s="169">
        <v>1232</v>
      </c>
      <c r="N272" s="169">
        <v>132.9</v>
      </c>
      <c r="O272" s="169">
        <v>0</v>
      </c>
      <c r="P272" s="166"/>
      <c r="Q272" s="218"/>
      <c r="R272" s="33"/>
      <c r="S272" s="19"/>
      <c r="V272" s="8"/>
      <c r="W272" s="9"/>
      <c r="X272" s="9"/>
    </row>
    <row r="273" spans="1:24" s="7" customFormat="1" ht="31" hidden="1" customHeight="1" x14ac:dyDescent="0.35">
      <c r="A273" s="199" t="s">
        <v>144</v>
      </c>
      <c r="B273" s="214" t="s">
        <v>206</v>
      </c>
      <c r="C273" s="167"/>
      <c r="D273" s="214" t="s">
        <v>79</v>
      </c>
      <c r="E273" s="214" t="s">
        <v>41</v>
      </c>
      <c r="F273" s="214" t="s">
        <v>42</v>
      </c>
      <c r="G273" s="214" t="s">
        <v>40</v>
      </c>
      <c r="H273" s="167"/>
      <c r="I273" s="167"/>
      <c r="J273" s="166">
        <v>2015</v>
      </c>
      <c r="K273" s="169">
        <f>L273+M273+N273</f>
        <v>210</v>
      </c>
      <c r="L273" s="169"/>
      <c r="M273" s="169">
        <v>200</v>
      </c>
      <c r="N273" s="169">
        <v>10</v>
      </c>
      <c r="O273" s="169"/>
      <c r="P273" s="220" t="s">
        <v>23</v>
      </c>
      <c r="Q273" s="213">
        <f>1500+8407.7+422.3+2499.99956</f>
        <v>12829.99956</v>
      </c>
      <c r="R273" s="34"/>
      <c r="S273" s="19"/>
      <c r="V273" s="10"/>
      <c r="W273" s="9"/>
      <c r="X273" s="9"/>
    </row>
    <row r="274" spans="1:24" s="7" customFormat="1" ht="23.15" hidden="1" customHeight="1" x14ac:dyDescent="0.35">
      <c r="A274" s="204"/>
      <c r="B274" s="214"/>
      <c r="C274" s="167"/>
      <c r="D274" s="214"/>
      <c r="E274" s="214"/>
      <c r="F274" s="214"/>
      <c r="G274" s="214"/>
      <c r="H274" s="167"/>
      <c r="I274" s="167"/>
      <c r="J274" s="166">
        <v>2016</v>
      </c>
      <c r="K274" s="169">
        <f>M274+N274</f>
        <v>1585</v>
      </c>
      <c r="L274" s="169"/>
      <c r="M274" s="169">
        <f>5000-2000-1385-115</f>
        <v>1500</v>
      </c>
      <c r="N274" s="169">
        <f>250-165</f>
        <v>85</v>
      </c>
      <c r="O274" s="169"/>
      <c r="P274" s="220"/>
      <c r="Q274" s="207"/>
      <c r="R274" s="34"/>
      <c r="S274" s="19"/>
      <c r="V274" s="10"/>
      <c r="W274" s="9"/>
      <c r="X274" s="9"/>
    </row>
    <row r="275" spans="1:24" s="7" customFormat="1" ht="23.15" hidden="1" customHeight="1" x14ac:dyDescent="0.35">
      <c r="A275" s="204"/>
      <c r="B275" s="214"/>
      <c r="C275" s="167"/>
      <c r="D275" s="214"/>
      <c r="E275" s="214"/>
      <c r="F275" s="214"/>
      <c r="G275" s="214"/>
      <c r="H275" s="167"/>
      <c r="I275" s="167"/>
      <c r="J275" s="166">
        <v>2017</v>
      </c>
      <c r="K275" s="169">
        <f>M275+N275</f>
        <v>12506</v>
      </c>
      <c r="L275" s="169"/>
      <c r="M275" s="169">
        <f>18606.5-6256.5-471</f>
        <v>11879</v>
      </c>
      <c r="N275" s="169">
        <f>650-23</f>
        <v>627</v>
      </c>
      <c r="O275" s="169"/>
      <c r="P275" s="220"/>
      <c r="Q275" s="207"/>
      <c r="R275" s="34"/>
      <c r="S275" s="19"/>
      <c r="V275" s="10"/>
      <c r="W275" s="9"/>
      <c r="X275" s="9"/>
    </row>
    <row r="276" spans="1:24" s="47" customFormat="1" ht="41.25" hidden="1" customHeight="1" x14ac:dyDescent="0.35">
      <c r="A276" s="199" t="s">
        <v>138</v>
      </c>
      <c r="B276" s="78" t="s">
        <v>208</v>
      </c>
      <c r="C276" s="156"/>
      <c r="D276" s="78" t="s">
        <v>235</v>
      </c>
      <c r="E276" s="78" t="s">
        <v>108</v>
      </c>
      <c r="F276" s="78" t="s">
        <v>109</v>
      </c>
      <c r="G276" s="78" t="s">
        <v>110</v>
      </c>
      <c r="H276" s="156"/>
      <c r="I276" s="156"/>
      <c r="J276" s="173">
        <v>2016</v>
      </c>
      <c r="K276" s="169">
        <f t="shared" ref="K276" si="90">M276+N276</f>
        <v>2000</v>
      </c>
      <c r="L276" s="169"/>
      <c r="M276" s="169">
        <f>100+3900-2200</f>
        <v>1800</v>
      </c>
      <c r="N276" s="169">
        <v>200</v>
      </c>
      <c r="O276" s="105"/>
      <c r="P276" s="199"/>
      <c r="Q276" s="194">
        <f>1800+108.3+2863+170+9689.15478+21835.68161+1157.39482</f>
        <v>37623.531210000001</v>
      </c>
      <c r="R276" s="44"/>
      <c r="S276" s="45"/>
      <c r="T276" s="46"/>
      <c r="V276" s="48"/>
      <c r="W276" s="49"/>
      <c r="X276" s="49"/>
    </row>
    <row r="277" spans="1:24" s="47" customFormat="1" ht="20.25" hidden="1" customHeight="1" x14ac:dyDescent="0.35">
      <c r="A277" s="204"/>
      <c r="B277" s="81"/>
      <c r="C277" s="168"/>
      <c r="D277" s="81"/>
      <c r="E277" s="81"/>
      <c r="F277" s="81"/>
      <c r="G277" s="81"/>
      <c r="H277" s="168"/>
      <c r="I277" s="168"/>
      <c r="J277" s="173">
        <v>2017</v>
      </c>
      <c r="K277" s="169">
        <f t="shared" ref="K277:K290" si="91">M277+N277</f>
        <v>3393</v>
      </c>
      <c r="L277" s="169"/>
      <c r="M277" s="169">
        <f>10619.4-600-6796.4</f>
        <v>3223</v>
      </c>
      <c r="N277" s="169">
        <f>485-315</f>
        <v>170</v>
      </c>
      <c r="O277" s="105"/>
      <c r="P277" s="200"/>
      <c r="Q277" s="195"/>
      <c r="R277" s="44"/>
      <c r="S277" s="45"/>
      <c r="T277" s="46"/>
      <c r="V277" s="48"/>
      <c r="W277" s="49"/>
      <c r="X277" s="49"/>
    </row>
    <row r="278" spans="1:24" s="7" customFormat="1" ht="23.25" hidden="1" customHeight="1" x14ac:dyDescent="0.35">
      <c r="A278" s="204"/>
      <c r="B278" s="81"/>
      <c r="C278" s="168"/>
      <c r="D278" s="81"/>
      <c r="E278" s="81"/>
      <c r="F278" s="81"/>
      <c r="G278" s="81"/>
      <c r="H278" s="168"/>
      <c r="I278" s="168"/>
      <c r="J278" s="173">
        <v>2018</v>
      </c>
      <c r="K278" s="169">
        <f t="shared" si="91"/>
        <v>0</v>
      </c>
      <c r="L278" s="169"/>
      <c r="M278" s="169">
        <v>0</v>
      </c>
      <c r="N278" s="169">
        <v>0</v>
      </c>
      <c r="O278" s="105"/>
      <c r="P278" s="157"/>
      <c r="Q278" s="195"/>
      <c r="R278" s="33"/>
      <c r="S278" s="21"/>
      <c r="T278" s="3"/>
      <c r="V278" s="10"/>
      <c r="W278" s="9"/>
      <c r="X278" s="9"/>
    </row>
    <row r="279" spans="1:24" s="7" customFormat="1" ht="23.25" hidden="1" customHeight="1" x14ac:dyDescent="0.35">
      <c r="A279" s="204"/>
      <c r="B279" s="81"/>
      <c r="C279" s="168"/>
      <c r="D279" s="81"/>
      <c r="E279" s="81"/>
      <c r="F279" s="81"/>
      <c r="G279" s="81"/>
      <c r="H279" s="168"/>
      <c r="I279" s="168"/>
      <c r="J279" s="173">
        <v>2019</v>
      </c>
      <c r="K279" s="169">
        <f>M279+N279</f>
        <v>1001.8</v>
      </c>
      <c r="L279" s="169"/>
      <c r="M279" s="169">
        <v>948.8</v>
      </c>
      <c r="N279" s="169">
        <v>53</v>
      </c>
      <c r="O279" s="105"/>
      <c r="P279" s="157"/>
      <c r="Q279" s="195"/>
      <c r="R279" s="33"/>
      <c r="S279" s="21"/>
      <c r="T279" s="3"/>
      <c r="V279" s="10"/>
      <c r="W279" s="9"/>
      <c r="X279" s="9"/>
    </row>
    <row r="280" spans="1:24" s="7" customFormat="1" ht="74.25" customHeight="1" x14ac:dyDescent="0.35">
      <c r="A280" s="204"/>
      <c r="B280" s="167" t="s">
        <v>208</v>
      </c>
      <c r="C280" s="167" t="s">
        <v>207</v>
      </c>
      <c r="D280" s="167" t="s">
        <v>370</v>
      </c>
      <c r="E280" s="167" t="s">
        <v>108</v>
      </c>
      <c r="F280" s="167" t="s">
        <v>109</v>
      </c>
      <c r="G280" s="167" t="s">
        <v>110</v>
      </c>
      <c r="H280" s="167" t="s">
        <v>8</v>
      </c>
      <c r="I280" s="167" t="s">
        <v>8</v>
      </c>
      <c r="J280" s="173">
        <v>2022</v>
      </c>
      <c r="K280" s="153">
        <f>K283</f>
        <v>1313.2952699999998</v>
      </c>
      <c r="L280" s="153">
        <f t="shared" ref="L280:O280" si="92">L283</f>
        <v>0</v>
      </c>
      <c r="M280" s="153">
        <f t="shared" si="92"/>
        <v>1287.02</v>
      </c>
      <c r="N280" s="153">
        <f t="shared" si="92"/>
        <v>26.275269999999853</v>
      </c>
      <c r="O280" s="153">
        <f t="shared" si="92"/>
        <v>0</v>
      </c>
      <c r="P280" s="157"/>
      <c r="Q280" s="195"/>
      <c r="R280" s="33"/>
      <c r="S280" s="21"/>
      <c r="T280" s="3"/>
      <c r="V280" s="10"/>
      <c r="W280" s="9"/>
      <c r="X280" s="9"/>
    </row>
    <row r="281" spans="1:24" s="7" customFormat="1" ht="35.25" hidden="1" customHeight="1" x14ac:dyDescent="0.35">
      <c r="A281" s="204"/>
      <c r="B281" s="199" t="s">
        <v>170</v>
      </c>
      <c r="C281" s="168"/>
      <c r="D281" s="81"/>
      <c r="E281" s="81"/>
      <c r="F281" s="81"/>
      <c r="G281" s="81"/>
      <c r="H281" s="81"/>
      <c r="I281" s="81"/>
      <c r="J281" s="173">
        <v>2020</v>
      </c>
      <c r="K281" s="153">
        <f>M281+N281+L281</f>
        <v>9689.1547800000008</v>
      </c>
      <c r="L281" s="153">
        <v>4597.6576400000004</v>
      </c>
      <c r="M281" s="153">
        <v>4785.3171400000001</v>
      </c>
      <c r="N281" s="152">
        <v>306.18</v>
      </c>
      <c r="O281" s="169">
        <v>0</v>
      </c>
      <c r="P281" s="157"/>
      <c r="Q281" s="195"/>
      <c r="R281" s="33"/>
      <c r="S281" s="21"/>
      <c r="T281" s="3"/>
      <c r="V281" s="10"/>
      <c r="W281" s="9"/>
      <c r="X281" s="9"/>
    </row>
    <row r="282" spans="1:24" s="7" customFormat="1" ht="31.5" hidden="1" customHeight="1" x14ac:dyDescent="0.35">
      <c r="A282" s="204"/>
      <c r="B282" s="204"/>
      <c r="C282" s="168"/>
      <c r="D282" s="81"/>
      <c r="E282" s="81"/>
      <c r="F282" s="81"/>
      <c r="G282" s="81"/>
      <c r="H282" s="81"/>
      <c r="I282" s="81"/>
      <c r="J282" s="173">
        <v>2021</v>
      </c>
      <c r="K282" s="153">
        <f>M282+N282</f>
        <v>22133.65726</v>
      </c>
      <c r="L282" s="169">
        <v>0</v>
      </c>
      <c r="M282" s="153">
        <f>19062.76119+1272.92042+1500</f>
        <v>21835.68161</v>
      </c>
      <c r="N282" s="153">
        <f>267.3634+30.61225</f>
        <v>297.97565000000003</v>
      </c>
      <c r="O282" s="169">
        <v>0</v>
      </c>
      <c r="P282" s="157"/>
      <c r="Q282" s="195"/>
      <c r="R282" s="33"/>
      <c r="S282" s="21"/>
      <c r="T282" s="3"/>
      <c r="V282" s="10"/>
      <c r="W282" s="9"/>
      <c r="X282" s="9"/>
    </row>
    <row r="283" spans="1:24" s="7" customFormat="1" ht="31.5" customHeight="1" x14ac:dyDescent="0.35">
      <c r="A283" s="200"/>
      <c r="B283" s="200"/>
      <c r="C283" s="157"/>
      <c r="D283" s="106"/>
      <c r="E283" s="106"/>
      <c r="F283" s="106"/>
      <c r="G283" s="106"/>
      <c r="H283" s="106"/>
      <c r="I283" s="106"/>
      <c r="J283" s="173">
        <v>2022</v>
      </c>
      <c r="K283" s="153">
        <f>L283+M283+N283+O283</f>
        <v>1313.2952699999998</v>
      </c>
      <c r="L283" s="152">
        <v>0</v>
      </c>
      <c r="M283" s="153">
        <v>1287.02</v>
      </c>
      <c r="N283" s="153">
        <v>26.275269999999853</v>
      </c>
      <c r="O283" s="152">
        <v>0</v>
      </c>
      <c r="P283" s="167"/>
      <c r="Q283" s="196"/>
      <c r="R283" s="33"/>
      <c r="S283" s="58"/>
      <c r="T283" s="3"/>
      <c r="V283" s="10"/>
      <c r="W283" s="9"/>
      <c r="X283" s="9"/>
    </row>
    <row r="284" spans="1:24" s="7" customFormat="1" ht="24.75" hidden="1" customHeight="1" x14ac:dyDescent="0.35">
      <c r="A284" s="199" t="s">
        <v>17</v>
      </c>
      <c r="B284" s="199" t="s">
        <v>34</v>
      </c>
      <c r="C284" s="156"/>
      <c r="D284" s="199" t="s">
        <v>36</v>
      </c>
      <c r="E284" s="199" t="s">
        <v>57</v>
      </c>
      <c r="F284" s="199" t="s">
        <v>58</v>
      </c>
      <c r="G284" s="199" t="s">
        <v>66</v>
      </c>
      <c r="H284" s="156"/>
      <c r="I284" s="156"/>
      <c r="J284" s="173">
        <v>2016</v>
      </c>
      <c r="K284" s="173">
        <f t="shared" si="91"/>
        <v>110</v>
      </c>
      <c r="L284" s="173"/>
      <c r="M284" s="173">
        <v>100</v>
      </c>
      <c r="N284" s="173">
        <v>10</v>
      </c>
      <c r="O284" s="152"/>
      <c r="P284" s="173"/>
      <c r="Q284" s="213" t="s">
        <v>3</v>
      </c>
      <c r="R284" s="33"/>
      <c r="S284" s="21"/>
      <c r="T284" s="3"/>
      <c r="V284" s="10"/>
      <c r="W284" s="9"/>
      <c r="X284" s="9"/>
    </row>
    <row r="285" spans="1:24" s="7" customFormat="1" ht="19.5" hidden="1" customHeight="1" x14ac:dyDescent="0.35">
      <c r="A285" s="204"/>
      <c r="B285" s="204"/>
      <c r="C285" s="168"/>
      <c r="D285" s="204"/>
      <c r="E285" s="204"/>
      <c r="F285" s="204"/>
      <c r="G285" s="204"/>
      <c r="H285" s="168"/>
      <c r="I285" s="168"/>
      <c r="J285" s="173">
        <v>2017</v>
      </c>
      <c r="K285" s="173">
        <f t="shared" si="91"/>
        <v>1980</v>
      </c>
      <c r="L285" s="173"/>
      <c r="M285" s="173">
        <f>1900-233+175</f>
        <v>1842</v>
      </c>
      <c r="N285" s="173">
        <f>123+15</f>
        <v>138</v>
      </c>
      <c r="O285" s="152"/>
      <c r="P285" s="173"/>
      <c r="Q285" s="207"/>
      <c r="R285" s="33"/>
      <c r="S285" s="21"/>
      <c r="T285" s="3"/>
      <c r="V285" s="10"/>
      <c r="W285" s="9"/>
      <c r="X285" s="9"/>
    </row>
    <row r="286" spans="1:24" s="7" customFormat="1" ht="27" hidden="1" customHeight="1" x14ac:dyDescent="0.35">
      <c r="A286" s="214" t="s">
        <v>145</v>
      </c>
      <c r="B286" s="214" t="s">
        <v>209</v>
      </c>
      <c r="C286" s="167"/>
      <c r="D286" s="214" t="s">
        <v>97</v>
      </c>
      <c r="E286" s="214" t="s">
        <v>62</v>
      </c>
      <c r="F286" s="214" t="s">
        <v>63</v>
      </c>
      <c r="G286" s="214" t="s">
        <v>64</v>
      </c>
      <c r="H286" s="167"/>
      <c r="I286" s="167"/>
      <c r="J286" s="173">
        <v>2017</v>
      </c>
      <c r="K286" s="169">
        <f t="shared" si="91"/>
        <v>2195</v>
      </c>
      <c r="L286" s="169"/>
      <c r="M286" s="169">
        <v>2041</v>
      </c>
      <c r="N286" s="169">
        <v>154</v>
      </c>
      <c r="O286" s="152"/>
      <c r="P286" s="173"/>
      <c r="Q286" s="213">
        <f>690+690+52+800+11456.82586</f>
        <v>13688.825860000001</v>
      </c>
      <c r="R286" s="33"/>
      <c r="S286" s="21"/>
      <c r="T286" s="3"/>
      <c r="V286" s="10"/>
      <c r="W286" s="9"/>
      <c r="X286" s="9"/>
    </row>
    <row r="287" spans="1:24" s="7" customFormat="1" ht="27" hidden="1" customHeight="1" x14ac:dyDescent="0.35">
      <c r="A287" s="214"/>
      <c r="B287" s="214"/>
      <c r="C287" s="167"/>
      <c r="D287" s="214"/>
      <c r="E287" s="214"/>
      <c r="F287" s="214"/>
      <c r="G287" s="214"/>
      <c r="H287" s="167"/>
      <c r="I287" s="167"/>
      <c r="J287" s="173" t="s">
        <v>43</v>
      </c>
      <c r="K287" s="169">
        <f t="shared" si="91"/>
        <v>742</v>
      </c>
      <c r="L287" s="169"/>
      <c r="M287" s="169">
        <f>2041-1351</f>
        <v>690</v>
      </c>
      <c r="N287" s="169">
        <v>52</v>
      </c>
      <c r="O287" s="152"/>
      <c r="P287" s="173"/>
      <c r="Q287" s="207"/>
      <c r="R287" s="33"/>
      <c r="S287" s="21"/>
      <c r="T287" s="3"/>
      <c r="V287" s="10"/>
      <c r="W287" s="9"/>
      <c r="X287" s="9"/>
    </row>
    <row r="288" spans="1:24" s="7" customFormat="1" ht="40.5" hidden="1" customHeight="1" x14ac:dyDescent="0.35">
      <c r="A288" s="214"/>
      <c r="B288" s="214"/>
      <c r="C288" s="167"/>
      <c r="D288" s="214"/>
      <c r="E288" s="214"/>
      <c r="F288" s="214"/>
      <c r="G288" s="214"/>
      <c r="H288" s="167"/>
      <c r="I288" s="167"/>
      <c r="J288" s="173">
        <v>2019</v>
      </c>
      <c r="K288" s="152">
        <f>M288+N288</f>
        <v>841.99999999999909</v>
      </c>
      <c r="L288" s="152"/>
      <c r="M288" s="152">
        <f>606.7+7196.65-7003.35</f>
        <v>799.99999999999909</v>
      </c>
      <c r="N288" s="152">
        <v>42</v>
      </c>
      <c r="O288" s="152"/>
      <c r="P288" s="173"/>
      <c r="Q288" s="207"/>
      <c r="R288" s="33"/>
      <c r="S288" s="21"/>
      <c r="T288" s="3"/>
      <c r="V288" s="10"/>
      <c r="W288" s="9"/>
      <c r="X288" s="9"/>
    </row>
    <row r="289" spans="1:24" s="7" customFormat="1" ht="27" hidden="1" customHeight="1" x14ac:dyDescent="0.35">
      <c r="A289" s="214" t="s">
        <v>139</v>
      </c>
      <c r="B289" s="78" t="s">
        <v>211</v>
      </c>
      <c r="C289" s="156"/>
      <c r="D289" s="78" t="s">
        <v>348</v>
      </c>
      <c r="E289" s="78" t="s">
        <v>15</v>
      </c>
      <c r="F289" s="78" t="s">
        <v>349</v>
      </c>
      <c r="G289" s="78" t="s">
        <v>111</v>
      </c>
      <c r="H289" s="156"/>
      <c r="I289" s="156"/>
      <c r="J289" s="173">
        <v>2017</v>
      </c>
      <c r="K289" s="169">
        <f t="shared" si="91"/>
        <v>110</v>
      </c>
      <c r="L289" s="169"/>
      <c r="M289" s="169">
        <f>1256-1156</f>
        <v>100</v>
      </c>
      <c r="N289" s="169">
        <f>66-56</f>
        <v>10</v>
      </c>
      <c r="O289" s="173"/>
      <c r="P289" s="173"/>
      <c r="Q289" s="264">
        <f>2906+199.2+1156+56+6096.12</f>
        <v>10413.32</v>
      </c>
      <c r="R289" s="33"/>
      <c r="S289" s="21"/>
      <c r="T289" s="3"/>
      <c r="V289" s="10"/>
      <c r="W289" s="9"/>
      <c r="X289" s="9"/>
    </row>
    <row r="290" spans="1:24" s="7" customFormat="1" ht="27" hidden="1" customHeight="1" x14ac:dyDescent="0.35">
      <c r="A290" s="214"/>
      <c r="B290" s="81"/>
      <c r="C290" s="168"/>
      <c r="D290" s="81"/>
      <c r="E290" s="81"/>
      <c r="F290" s="81"/>
      <c r="G290" s="81"/>
      <c r="H290" s="168"/>
      <c r="I290" s="168"/>
      <c r="J290" s="173">
        <v>2018</v>
      </c>
      <c r="K290" s="169">
        <f t="shared" si="91"/>
        <v>1212</v>
      </c>
      <c r="L290" s="169"/>
      <c r="M290" s="169">
        <f>12424.1-11268.1</f>
        <v>1156</v>
      </c>
      <c r="N290" s="169">
        <f>653.9-597.9</f>
        <v>56</v>
      </c>
      <c r="O290" s="173"/>
      <c r="P290" s="173"/>
      <c r="Q290" s="264"/>
      <c r="R290" s="33"/>
      <c r="S290" s="21"/>
      <c r="T290" s="3"/>
      <c r="V290" s="10"/>
      <c r="W290" s="9"/>
      <c r="X290" s="9"/>
    </row>
    <row r="291" spans="1:24" s="7" customFormat="1" ht="27" hidden="1" customHeight="1" x14ac:dyDescent="0.35">
      <c r="A291" s="214"/>
      <c r="B291" s="81"/>
      <c r="C291" s="168"/>
      <c r="D291" s="81"/>
      <c r="E291" s="81"/>
      <c r="F291" s="81"/>
      <c r="G291" s="81"/>
      <c r="H291" s="168"/>
      <c r="I291" s="168"/>
      <c r="J291" s="173">
        <v>2019</v>
      </c>
      <c r="K291" s="152">
        <f>M291+N291</f>
        <v>4004.07</v>
      </c>
      <c r="L291" s="152"/>
      <c r="M291" s="152">
        <f>12424.1-6038.1+3245-5783.75</f>
        <v>3847.25</v>
      </c>
      <c r="N291" s="152">
        <v>156.82</v>
      </c>
      <c r="O291" s="173"/>
      <c r="P291" s="173"/>
      <c r="Q291" s="264"/>
      <c r="R291" s="33"/>
      <c r="S291" s="21"/>
      <c r="T291" s="3"/>
      <c r="V291" s="10"/>
      <c r="W291" s="9"/>
      <c r="X291" s="9"/>
    </row>
    <row r="292" spans="1:24" s="7" customFormat="1" ht="47.25" hidden="1" customHeight="1" x14ac:dyDescent="0.35">
      <c r="A292" s="214"/>
      <c r="B292" s="167" t="s">
        <v>211</v>
      </c>
      <c r="C292" s="167" t="s">
        <v>210</v>
      </c>
      <c r="D292" s="167" t="s">
        <v>212</v>
      </c>
      <c r="E292" s="167" t="s">
        <v>15</v>
      </c>
      <c r="F292" s="167" t="s">
        <v>350</v>
      </c>
      <c r="G292" s="167" t="s">
        <v>111</v>
      </c>
      <c r="H292" s="167" t="s">
        <v>1</v>
      </c>
      <c r="I292" s="167" t="s">
        <v>1</v>
      </c>
      <c r="J292" s="173">
        <v>2022</v>
      </c>
      <c r="K292" s="153">
        <f>K295</f>
        <v>0</v>
      </c>
      <c r="L292" s="153">
        <f t="shared" ref="L292:P292" si="93">L295</f>
        <v>0</v>
      </c>
      <c r="M292" s="153">
        <f t="shared" si="93"/>
        <v>0</v>
      </c>
      <c r="N292" s="153">
        <f>N295</f>
        <v>0</v>
      </c>
      <c r="O292" s="153">
        <f t="shared" si="93"/>
        <v>0</v>
      </c>
      <c r="P292" s="153">
        <f t="shared" si="93"/>
        <v>0</v>
      </c>
      <c r="Q292" s="264"/>
      <c r="R292" s="33"/>
      <c r="S292" s="21"/>
      <c r="T292" s="3"/>
      <c r="V292" s="10"/>
      <c r="W292" s="9"/>
      <c r="X292" s="9"/>
    </row>
    <row r="293" spans="1:24" s="7" customFormat="1" ht="27" hidden="1" customHeight="1" x14ac:dyDescent="0.35">
      <c r="A293" s="214"/>
      <c r="B293" s="167" t="s">
        <v>169</v>
      </c>
      <c r="C293" s="167"/>
      <c r="D293" s="105"/>
      <c r="E293" s="105"/>
      <c r="F293" s="105"/>
      <c r="G293" s="105"/>
      <c r="H293" s="105"/>
      <c r="I293" s="105"/>
      <c r="J293" s="173">
        <v>2020</v>
      </c>
      <c r="K293" s="152">
        <f>M293+N293</f>
        <v>6095.9299999999994</v>
      </c>
      <c r="L293" s="169">
        <v>0</v>
      </c>
      <c r="M293" s="152">
        <f>5070+0.00081+4741.14919-4020</f>
        <v>5791.15</v>
      </c>
      <c r="N293" s="152">
        <f>771.47-466.69</f>
        <v>304.78000000000003</v>
      </c>
      <c r="O293" s="152">
        <v>0</v>
      </c>
      <c r="P293" s="173"/>
      <c r="Q293" s="264"/>
      <c r="R293" s="33"/>
      <c r="S293" s="21"/>
      <c r="T293" s="3"/>
      <c r="V293" s="10"/>
      <c r="W293" s="9"/>
      <c r="X293" s="9"/>
    </row>
    <row r="294" spans="1:24" s="7" customFormat="1" ht="27" hidden="1" customHeight="1" x14ac:dyDescent="0.35">
      <c r="A294" s="214"/>
      <c r="B294" s="199" t="s">
        <v>170</v>
      </c>
      <c r="C294" s="199"/>
      <c r="D294" s="199"/>
      <c r="E294" s="199"/>
      <c r="F294" s="199"/>
      <c r="G294" s="199"/>
      <c r="H294" s="199"/>
      <c r="I294" s="199"/>
      <c r="J294" s="173">
        <v>2021</v>
      </c>
      <c r="K294" s="169">
        <f>M294+N294</f>
        <v>1414.2</v>
      </c>
      <c r="L294" s="169">
        <v>0</v>
      </c>
      <c r="M294" s="169">
        <f>17663.07953-6113.31871+1365.36412-11515.12494</f>
        <v>1400</v>
      </c>
      <c r="N294" s="169">
        <f>116.67+13.7907-116.2607</f>
        <v>14.200000000000003</v>
      </c>
      <c r="O294" s="169">
        <v>0</v>
      </c>
      <c r="P294" s="173"/>
      <c r="Q294" s="264"/>
      <c r="R294" s="33"/>
      <c r="S294" s="21"/>
      <c r="T294" s="3"/>
      <c r="V294" s="10"/>
      <c r="W294" s="9"/>
      <c r="X294" s="9"/>
    </row>
    <row r="295" spans="1:24" s="7" customFormat="1" ht="27" hidden="1" customHeight="1" x14ac:dyDescent="0.35">
      <c r="A295" s="214"/>
      <c r="B295" s="204"/>
      <c r="C295" s="204"/>
      <c r="D295" s="204"/>
      <c r="E295" s="204"/>
      <c r="F295" s="204"/>
      <c r="G295" s="204"/>
      <c r="H295" s="204"/>
      <c r="I295" s="204"/>
      <c r="J295" s="170">
        <v>2022</v>
      </c>
      <c r="K295" s="150">
        <f>L295+M295+N295+O295</f>
        <v>0</v>
      </c>
      <c r="L295" s="154">
        <v>0</v>
      </c>
      <c r="M295" s="150">
        <v>0</v>
      </c>
      <c r="N295" s="150">
        <v>0</v>
      </c>
      <c r="O295" s="175">
        <v>0</v>
      </c>
      <c r="P295" s="170"/>
      <c r="Q295" s="264"/>
      <c r="R295" s="57"/>
      <c r="S295" s="21"/>
      <c r="T295" s="3"/>
      <c r="V295" s="10"/>
      <c r="W295" s="9"/>
      <c r="X295" s="9"/>
    </row>
    <row r="296" spans="1:24" s="7" customFormat="1" ht="77.25" customHeight="1" x14ac:dyDescent="0.35">
      <c r="A296" s="199" t="s">
        <v>139</v>
      </c>
      <c r="B296" s="167" t="s">
        <v>214</v>
      </c>
      <c r="C296" s="167" t="s">
        <v>213</v>
      </c>
      <c r="D296" s="167" t="s">
        <v>369</v>
      </c>
      <c r="E296" s="167" t="s">
        <v>15</v>
      </c>
      <c r="F296" s="167" t="s">
        <v>379</v>
      </c>
      <c r="G296" s="156" t="s">
        <v>65</v>
      </c>
      <c r="H296" s="156" t="s">
        <v>10</v>
      </c>
      <c r="I296" s="167" t="s">
        <v>10</v>
      </c>
      <c r="J296" s="173">
        <v>2022</v>
      </c>
      <c r="K296" s="153">
        <f>K298</f>
        <v>8298.83</v>
      </c>
      <c r="L296" s="153">
        <f t="shared" ref="L296:O296" si="94">L298</f>
        <v>0</v>
      </c>
      <c r="M296" s="153">
        <f t="shared" si="94"/>
        <v>8049.83</v>
      </c>
      <c r="N296" s="153">
        <f t="shared" si="94"/>
        <v>249</v>
      </c>
      <c r="O296" s="153">
        <f t="shared" si="94"/>
        <v>0</v>
      </c>
      <c r="P296" s="173"/>
      <c r="Q296" s="249">
        <v>6614.7051300000003</v>
      </c>
      <c r="R296" s="33"/>
      <c r="S296" s="21"/>
      <c r="T296" s="3"/>
      <c r="V296" s="10"/>
      <c r="W296" s="9"/>
      <c r="X296" s="9"/>
    </row>
    <row r="297" spans="1:24" s="7" customFormat="1" ht="23.25" hidden="1" customHeight="1" x14ac:dyDescent="0.35">
      <c r="A297" s="204"/>
      <c r="B297" s="105" t="s">
        <v>183</v>
      </c>
      <c r="C297" s="105"/>
      <c r="D297" s="105"/>
      <c r="E297" s="105"/>
      <c r="F297" s="105"/>
      <c r="G297" s="214"/>
      <c r="H297" s="105"/>
      <c r="I297" s="105"/>
      <c r="J297" s="173">
        <v>2021</v>
      </c>
      <c r="K297" s="153">
        <f>L297+M297+N297+O297</f>
        <v>0</v>
      </c>
      <c r="L297" s="153">
        <v>0</v>
      </c>
      <c r="M297" s="153">
        <v>0</v>
      </c>
      <c r="N297" s="153">
        <v>0</v>
      </c>
      <c r="O297" s="169">
        <v>0</v>
      </c>
      <c r="P297" s="173"/>
      <c r="Q297" s="249"/>
      <c r="R297" s="33"/>
      <c r="S297" s="21"/>
      <c r="T297" s="3"/>
      <c r="V297" s="10"/>
      <c r="W297" s="9"/>
      <c r="X297" s="9"/>
    </row>
    <row r="298" spans="1:24" s="7" customFormat="1" ht="23.25" customHeight="1" x14ac:dyDescent="0.35">
      <c r="A298" s="204"/>
      <c r="B298" s="125" t="s">
        <v>169</v>
      </c>
      <c r="C298" s="105"/>
      <c r="D298" s="105"/>
      <c r="E298" s="105"/>
      <c r="F298" s="105"/>
      <c r="G298" s="214"/>
      <c r="H298" s="105"/>
      <c r="I298" s="105"/>
      <c r="J298" s="173">
        <v>2022</v>
      </c>
      <c r="K298" s="153">
        <f>L298+M298+N298+O298</f>
        <v>8298.83</v>
      </c>
      <c r="L298" s="153">
        <v>0</v>
      </c>
      <c r="M298" s="153">
        <v>8049.83</v>
      </c>
      <c r="N298" s="153">
        <v>249</v>
      </c>
      <c r="O298" s="169">
        <v>0</v>
      </c>
      <c r="P298" s="173"/>
      <c r="Q298" s="249"/>
      <c r="R298" s="33"/>
      <c r="S298" s="21"/>
      <c r="T298" s="3"/>
      <c r="V298" s="10"/>
      <c r="W298" s="9"/>
      <c r="X298" s="9"/>
    </row>
    <row r="299" spans="1:24" s="7" customFormat="1" ht="23.25" hidden="1" customHeight="1" x14ac:dyDescent="0.35">
      <c r="A299" s="200"/>
      <c r="B299" s="125" t="s">
        <v>183</v>
      </c>
      <c r="C299" s="105"/>
      <c r="D299" s="105"/>
      <c r="E299" s="105"/>
      <c r="F299" s="105"/>
      <c r="G299" s="214"/>
      <c r="H299" s="105"/>
      <c r="I299" s="105"/>
      <c r="J299" s="173">
        <v>2024</v>
      </c>
      <c r="K299" s="153">
        <f>L299+M299+N299</f>
        <v>24213.435299999997</v>
      </c>
      <c r="L299" s="153">
        <v>0</v>
      </c>
      <c r="M299" s="153">
        <f>23676.61235-375.46745+282.33273</f>
        <v>23583.477629999998</v>
      </c>
      <c r="N299" s="153">
        <f>631.23-10.01+8.73767</f>
        <v>629.95767000000001</v>
      </c>
      <c r="O299" s="169">
        <v>0</v>
      </c>
      <c r="P299" s="173"/>
      <c r="Q299" s="249"/>
      <c r="R299" s="33"/>
      <c r="S299" s="21"/>
      <c r="T299" s="3"/>
      <c r="V299" s="10"/>
      <c r="W299" s="9"/>
      <c r="X299" s="9"/>
    </row>
    <row r="300" spans="1:24" s="7" customFormat="1" ht="90" customHeight="1" x14ac:dyDescent="0.35">
      <c r="A300" s="199" t="s">
        <v>140</v>
      </c>
      <c r="B300" s="167" t="s">
        <v>268</v>
      </c>
      <c r="C300" s="167" t="s">
        <v>269</v>
      </c>
      <c r="D300" s="167" t="s">
        <v>251</v>
      </c>
      <c r="E300" s="167" t="s">
        <v>294</v>
      </c>
      <c r="F300" s="167" t="s">
        <v>295</v>
      </c>
      <c r="G300" s="167"/>
      <c r="H300" s="167" t="s">
        <v>252</v>
      </c>
      <c r="I300" s="167" t="s">
        <v>252</v>
      </c>
      <c r="J300" s="173">
        <v>2022</v>
      </c>
      <c r="K300" s="153">
        <f>L300+M300+N300+O300+O31</f>
        <v>2743.8833199999999</v>
      </c>
      <c r="L300" s="153">
        <f>L301</f>
        <v>1636.1</v>
      </c>
      <c r="M300" s="153">
        <f t="shared" ref="M300:O300" si="95">M301</f>
        <v>805.92372</v>
      </c>
      <c r="N300" s="153">
        <f t="shared" si="95"/>
        <v>301.8596</v>
      </c>
      <c r="O300" s="153">
        <f t="shared" si="95"/>
        <v>0</v>
      </c>
      <c r="P300" s="173"/>
      <c r="Q300" s="194">
        <v>2743.7230599999998</v>
      </c>
      <c r="R300" s="33"/>
      <c r="S300" s="21"/>
      <c r="T300" s="3"/>
      <c r="V300" s="10"/>
      <c r="W300" s="9"/>
      <c r="X300" s="9"/>
    </row>
    <row r="301" spans="1:24" s="7" customFormat="1" ht="23.25" customHeight="1" x14ac:dyDescent="0.35">
      <c r="A301" s="200"/>
      <c r="B301" s="125" t="s">
        <v>170</v>
      </c>
      <c r="C301" s="105"/>
      <c r="D301" s="105"/>
      <c r="E301" s="167"/>
      <c r="F301" s="167"/>
      <c r="G301" s="167"/>
      <c r="H301" s="105"/>
      <c r="I301" s="105"/>
      <c r="J301" s="173">
        <v>2022</v>
      </c>
      <c r="K301" s="153">
        <f>L301+M301+N301+O301</f>
        <v>2743.8833199999999</v>
      </c>
      <c r="L301" s="153">
        <v>1636.1</v>
      </c>
      <c r="M301" s="153">
        <v>805.92372</v>
      </c>
      <c r="N301" s="153">
        <v>301.8596</v>
      </c>
      <c r="O301" s="169">
        <v>0</v>
      </c>
      <c r="P301" s="173"/>
      <c r="Q301" s="196"/>
      <c r="R301" s="33"/>
      <c r="S301" s="21"/>
      <c r="T301" s="3"/>
      <c r="V301" s="10"/>
      <c r="W301" s="9"/>
      <c r="X301" s="9"/>
    </row>
    <row r="302" spans="1:24" s="7" customFormat="1" ht="75" hidden="1" customHeight="1" x14ac:dyDescent="0.35">
      <c r="A302" s="199" t="s">
        <v>141</v>
      </c>
      <c r="B302" s="125" t="s">
        <v>303</v>
      </c>
      <c r="C302" s="167" t="s">
        <v>271</v>
      </c>
      <c r="D302" s="167" t="s">
        <v>270</v>
      </c>
      <c r="E302" s="167" t="s">
        <v>296</v>
      </c>
      <c r="F302" s="167" t="s">
        <v>297</v>
      </c>
      <c r="G302" s="167"/>
      <c r="H302" s="187" t="s">
        <v>266</v>
      </c>
      <c r="I302" s="187" t="s">
        <v>266</v>
      </c>
      <c r="J302" s="173">
        <v>2023</v>
      </c>
      <c r="K302" s="153">
        <f>L302+M302+N302+O302</f>
        <v>0</v>
      </c>
      <c r="L302" s="153">
        <f>L303</f>
        <v>0</v>
      </c>
      <c r="M302" s="153">
        <f t="shared" ref="M302:O302" si="96">M303</f>
        <v>0</v>
      </c>
      <c r="N302" s="153">
        <f t="shared" si="96"/>
        <v>0</v>
      </c>
      <c r="O302" s="153">
        <f t="shared" si="96"/>
        <v>0</v>
      </c>
      <c r="P302" s="173"/>
      <c r="Q302" s="216">
        <v>0</v>
      </c>
      <c r="R302" s="33"/>
      <c r="S302" s="21"/>
      <c r="T302" s="3"/>
      <c r="V302" s="10"/>
      <c r="W302" s="9"/>
      <c r="X302" s="9"/>
    </row>
    <row r="303" spans="1:24" s="7" customFormat="1" ht="23.25" hidden="1" customHeight="1" x14ac:dyDescent="0.35">
      <c r="A303" s="200"/>
      <c r="B303" s="125" t="s">
        <v>170</v>
      </c>
      <c r="C303" s="105"/>
      <c r="D303" s="105"/>
      <c r="E303" s="105"/>
      <c r="F303" s="105"/>
      <c r="G303" s="167"/>
      <c r="H303" s="105"/>
      <c r="I303" s="105"/>
      <c r="J303" s="173">
        <v>2023</v>
      </c>
      <c r="K303" s="153">
        <f>L303+M303+N303+O303</f>
        <v>0</v>
      </c>
      <c r="L303" s="153">
        <v>0</v>
      </c>
      <c r="M303" s="153">
        <v>0</v>
      </c>
      <c r="N303" s="153">
        <v>0</v>
      </c>
      <c r="O303" s="169">
        <v>0</v>
      </c>
      <c r="P303" s="173"/>
      <c r="Q303" s="217"/>
      <c r="R303" s="33"/>
      <c r="S303" s="21"/>
      <c r="T303" s="3"/>
      <c r="V303" s="10"/>
      <c r="W303" s="9"/>
      <c r="X303" s="9"/>
    </row>
    <row r="304" spans="1:24" s="7" customFormat="1" ht="79.5" customHeight="1" x14ac:dyDescent="0.35">
      <c r="A304" s="199" t="s">
        <v>141</v>
      </c>
      <c r="B304" s="125" t="s">
        <v>209</v>
      </c>
      <c r="C304" s="167" t="s">
        <v>321</v>
      </c>
      <c r="D304" s="167" t="s">
        <v>367</v>
      </c>
      <c r="E304" s="167" t="s">
        <v>62</v>
      </c>
      <c r="F304" s="167" t="s">
        <v>63</v>
      </c>
      <c r="G304" s="167" t="s">
        <v>64</v>
      </c>
      <c r="H304" s="167" t="s">
        <v>322</v>
      </c>
      <c r="I304" s="167" t="s">
        <v>322</v>
      </c>
      <c r="J304" s="173">
        <v>2022</v>
      </c>
      <c r="K304" s="169">
        <f>K305</f>
        <v>1459</v>
      </c>
      <c r="L304" s="169">
        <f t="shared" ref="L304:O304" si="97">L305</f>
        <v>0</v>
      </c>
      <c r="M304" s="169">
        <f t="shared" si="97"/>
        <v>1313</v>
      </c>
      <c r="N304" s="153">
        <f t="shared" si="97"/>
        <v>146</v>
      </c>
      <c r="O304" s="169">
        <f t="shared" si="97"/>
        <v>0</v>
      </c>
      <c r="P304" s="173"/>
      <c r="Q304" s="216">
        <v>1459</v>
      </c>
      <c r="R304" s="33"/>
      <c r="S304" s="21"/>
      <c r="T304" s="3"/>
      <c r="V304" s="10"/>
      <c r="W304" s="9"/>
      <c r="X304" s="9"/>
    </row>
    <row r="305" spans="1:24" s="7" customFormat="1" ht="25.5" customHeight="1" x14ac:dyDescent="0.35">
      <c r="A305" s="200"/>
      <c r="B305" s="125" t="s">
        <v>324</v>
      </c>
      <c r="C305" s="105"/>
      <c r="D305" s="105"/>
      <c r="E305" s="105"/>
      <c r="F305" s="105"/>
      <c r="G305" s="167"/>
      <c r="H305" s="105"/>
      <c r="I305" s="105"/>
      <c r="J305" s="173">
        <v>2022</v>
      </c>
      <c r="K305" s="169">
        <f>L305+M305+N305+O305</f>
        <v>1459</v>
      </c>
      <c r="L305" s="169">
        <v>0</v>
      </c>
      <c r="M305" s="169">
        <v>1313</v>
      </c>
      <c r="N305" s="169">
        <v>146</v>
      </c>
      <c r="O305" s="169">
        <v>0</v>
      </c>
      <c r="P305" s="173"/>
      <c r="Q305" s="217"/>
      <c r="R305" s="33"/>
      <c r="S305" s="21"/>
      <c r="T305" s="3"/>
      <c r="V305" s="10"/>
      <c r="W305" s="9"/>
      <c r="X305" s="9"/>
    </row>
    <row r="306" spans="1:24" s="7" customFormat="1" ht="68.25" customHeight="1" x14ac:dyDescent="0.35">
      <c r="A306" s="199" t="s">
        <v>223</v>
      </c>
      <c r="B306" s="167" t="s">
        <v>325</v>
      </c>
      <c r="C306" s="167" t="s">
        <v>326</v>
      </c>
      <c r="D306" s="167" t="s">
        <v>368</v>
      </c>
      <c r="E306" s="167" t="s">
        <v>327</v>
      </c>
      <c r="F306" s="167" t="s">
        <v>328</v>
      </c>
      <c r="G306" s="167"/>
      <c r="H306" s="167" t="s">
        <v>329</v>
      </c>
      <c r="I306" s="167" t="s">
        <v>329</v>
      </c>
      <c r="J306" s="173">
        <v>2022</v>
      </c>
      <c r="K306" s="153">
        <f>K307</f>
        <v>1997.7911999999999</v>
      </c>
      <c r="L306" s="153">
        <f t="shared" ref="L306:O306" si="98">L307</f>
        <v>0</v>
      </c>
      <c r="M306" s="153">
        <f t="shared" si="98"/>
        <v>1957.83538</v>
      </c>
      <c r="N306" s="153">
        <f t="shared" si="98"/>
        <v>39.955820000000003</v>
      </c>
      <c r="O306" s="126">
        <f t="shared" si="98"/>
        <v>0</v>
      </c>
      <c r="P306" s="173"/>
      <c r="Q306" s="194">
        <v>1997.79078</v>
      </c>
      <c r="R306" s="33"/>
      <c r="S306" s="21"/>
      <c r="T306" s="3"/>
      <c r="V306" s="10"/>
      <c r="W306" s="9"/>
      <c r="X306" s="9"/>
    </row>
    <row r="307" spans="1:24" s="7" customFormat="1" ht="18.75" customHeight="1" x14ac:dyDescent="0.35">
      <c r="A307" s="200"/>
      <c r="B307" s="125" t="s">
        <v>324</v>
      </c>
      <c r="C307" s="127"/>
      <c r="D307" s="105"/>
      <c r="E307" s="105"/>
      <c r="F307" s="105"/>
      <c r="G307" s="167"/>
      <c r="H307" s="128"/>
      <c r="I307" s="128"/>
      <c r="J307" s="173">
        <v>2022</v>
      </c>
      <c r="K307" s="153">
        <f>L307+M307+N307+O307</f>
        <v>1997.7911999999999</v>
      </c>
      <c r="L307" s="153">
        <v>0</v>
      </c>
      <c r="M307" s="153">
        <f>2343.5034-385.66802</f>
        <v>1957.83538</v>
      </c>
      <c r="N307" s="153">
        <f>47.8266-7.87078</f>
        <v>39.955820000000003</v>
      </c>
      <c r="O307" s="169">
        <v>0</v>
      </c>
      <c r="P307" s="173"/>
      <c r="Q307" s="196"/>
      <c r="R307" s="33"/>
      <c r="S307" s="21"/>
      <c r="T307" s="3"/>
      <c r="V307" s="10"/>
      <c r="W307" s="9"/>
      <c r="X307" s="9"/>
    </row>
    <row r="308" spans="1:24" s="7" customFormat="1" ht="72" customHeight="1" x14ac:dyDescent="0.35">
      <c r="A308" s="157" t="s">
        <v>323</v>
      </c>
      <c r="B308" s="167" t="s">
        <v>330</v>
      </c>
      <c r="C308" s="167" t="s">
        <v>331</v>
      </c>
      <c r="D308" s="167" t="s">
        <v>367</v>
      </c>
      <c r="E308" s="167" t="s">
        <v>332</v>
      </c>
      <c r="F308" s="167" t="s">
        <v>333</v>
      </c>
      <c r="G308" s="167"/>
      <c r="H308" s="167" t="s">
        <v>322</v>
      </c>
      <c r="I308" s="167" t="s">
        <v>322</v>
      </c>
      <c r="J308" s="173">
        <v>2022</v>
      </c>
      <c r="K308" s="153">
        <f>K309</f>
        <v>834.18754000000001</v>
      </c>
      <c r="L308" s="169">
        <f t="shared" ref="L308:O308" si="99">L309</f>
        <v>0</v>
      </c>
      <c r="M308" s="153">
        <f t="shared" si="99"/>
        <v>792.94439999999997</v>
      </c>
      <c r="N308" s="153">
        <f t="shared" si="99"/>
        <v>41.243140000000004</v>
      </c>
      <c r="O308" s="153">
        <f t="shared" si="99"/>
        <v>0</v>
      </c>
      <c r="P308" s="173"/>
      <c r="Q308" s="194">
        <f>1462.8+670+660+50+1204.61293+834.18754</f>
        <v>4881.6004700000003</v>
      </c>
      <c r="R308" s="33"/>
      <c r="S308" s="21"/>
      <c r="T308" s="3"/>
      <c r="V308" s="10"/>
      <c r="W308" s="9"/>
      <c r="X308" s="9"/>
    </row>
    <row r="309" spans="1:24" s="7" customFormat="1" ht="41.25" customHeight="1" x14ac:dyDescent="0.35">
      <c r="A309" s="157"/>
      <c r="B309" s="125" t="s">
        <v>170</v>
      </c>
      <c r="C309" s="105"/>
      <c r="D309" s="105"/>
      <c r="E309" s="105"/>
      <c r="F309" s="105"/>
      <c r="G309" s="167"/>
      <c r="H309" s="105"/>
      <c r="I309" s="105"/>
      <c r="J309" s="173">
        <v>2022</v>
      </c>
      <c r="K309" s="153">
        <f>L309+M309+N309+O309</f>
        <v>834.18754000000001</v>
      </c>
      <c r="L309" s="169">
        <v>0</v>
      </c>
      <c r="M309" s="153">
        <f>884.36712-91.42272</f>
        <v>792.94439999999997</v>
      </c>
      <c r="N309" s="153">
        <f>45.99828-4.75514</f>
        <v>41.243140000000004</v>
      </c>
      <c r="O309" s="169">
        <v>0</v>
      </c>
      <c r="P309" s="173"/>
      <c r="Q309" s="196"/>
      <c r="R309" s="33"/>
      <c r="S309" s="21"/>
      <c r="T309" s="3"/>
      <c r="V309" s="10"/>
      <c r="W309" s="9"/>
      <c r="X309" s="9"/>
    </row>
    <row r="310" spans="1:24" s="7" customFormat="1" ht="23.25" customHeight="1" x14ac:dyDescent="0.35">
      <c r="A310" s="214" t="s">
        <v>317</v>
      </c>
      <c r="B310" s="214"/>
      <c r="C310" s="214"/>
      <c r="D310" s="214"/>
      <c r="E310" s="214"/>
      <c r="F310" s="214"/>
      <c r="G310" s="214"/>
      <c r="H310" s="214"/>
      <c r="I310" s="214"/>
      <c r="J310" s="214"/>
      <c r="K310" s="214"/>
      <c r="L310" s="214"/>
      <c r="M310" s="214"/>
      <c r="N310" s="214"/>
      <c r="O310" s="214"/>
      <c r="P310" s="214"/>
      <c r="Q310" s="214"/>
      <c r="R310" s="33"/>
      <c r="S310" s="21"/>
      <c r="T310" s="3"/>
      <c r="V310" s="10"/>
      <c r="W310" s="9"/>
      <c r="X310" s="9"/>
    </row>
    <row r="311" spans="1:24" s="7" customFormat="1" ht="81.75" customHeight="1" x14ac:dyDescent="0.35">
      <c r="A311" s="199" t="s">
        <v>120</v>
      </c>
      <c r="B311" s="167" t="s">
        <v>200</v>
      </c>
      <c r="C311" s="167" t="s">
        <v>199</v>
      </c>
      <c r="D311" s="167" t="s">
        <v>366</v>
      </c>
      <c r="E311" s="167" t="s">
        <v>155</v>
      </c>
      <c r="F311" s="167" t="s">
        <v>156</v>
      </c>
      <c r="G311" s="167" t="s">
        <v>157</v>
      </c>
      <c r="H311" s="167" t="s">
        <v>158</v>
      </c>
      <c r="I311" s="167" t="s">
        <v>158</v>
      </c>
      <c r="J311" s="173">
        <v>2022</v>
      </c>
      <c r="K311" s="153">
        <f>L311+M311+N311+O311</f>
        <v>3971.9363699999999</v>
      </c>
      <c r="L311" s="169">
        <f>L312</f>
        <v>0</v>
      </c>
      <c r="M311" s="153">
        <f t="shared" ref="M311:O311" si="100">M312</f>
        <v>3157.2</v>
      </c>
      <c r="N311" s="153">
        <f t="shared" si="100"/>
        <v>814.73636999999997</v>
      </c>
      <c r="O311" s="169">
        <f t="shared" si="100"/>
        <v>0</v>
      </c>
      <c r="P311" s="172"/>
      <c r="Q311" s="194">
        <f>3065.1+2111.7+22489.8+859.5+8000.5+697.2+12134+1149.5+1308.9+5000+945.1+5881.88174+3074.40934</f>
        <v>66717.591079999998</v>
      </c>
      <c r="R311" s="33"/>
      <c r="S311" s="21"/>
      <c r="T311" s="3"/>
      <c r="V311" s="10"/>
      <c r="W311" s="9"/>
      <c r="X311" s="9"/>
    </row>
    <row r="312" spans="1:24" s="7" customFormat="1" ht="35.25" customHeight="1" x14ac:dyDescent="0.35">
      <c r="A312" s="200"/>
      <c r="B312" s="125" t="s">
        <v>170</v>
      </c>
      <c r="C312" s="78"/>
      <c r="D312" s="78"/>
      <c r="E312" s="78"/>
      <c r="F312" s="78"/>
      <c r="G312" s="156"/>
      <c r="H312" s="78"/>
      <c r="I312" s="78"/>
      <c r="J312" s="170">
        <v>2022</v>
      </c>
      <c r="K312" s="150">
        <f>L312+M312+N312+O312</f>
        <v>3971.9363699999999</v>
      </c>
      <c r="L312" s="154">
        <v>0</v>
      </c>
      <c r="M312" s="150">
        <f>5157.2-2000</f>
        <v>3157.2</v>
      </c>
      <c r="N312" s="150">
        <f>1330.84962-516.11325</f>
        <v>814.73636999999997</v>
      </c>
      <c r="O312" s="154">
        <v>0</v>
      </c>
      <c r="P312" s="170"/>
      <c r="Q312" s="195"/>
      <c r="R312" s="33">
        <f>M312+N312</f>
        <v>3971.9363699999999</v>
      </c>
      <c r="S312" s="21">
        <f>M312*100/R312</f>
        <v>79.487678197624305</v>
      </c>
      <c r="T312" s="3">
        <f>100-S312</f>
        <v>20.512321802375695</v>
      </c>
      <c r="V312" s="10"/>
      <c r="W312" s="9"/>
      <c r="X312" s="9"/>
    </row>
    <row r="313" spans="1:24" s="7" customFormat="1" ht="94" customHeight="1" x14ac:dyDescent="0.35">
      <c r="A313" s="199" t="s">
        <v>416</v>
      </c>
      <c r="B313" s="145" t="s">
        <v>417</v>
      </c>
      <c r="C313" s="167" t="s">
        <v>434</v>
      </c>
      <c r="D313" s="167" t="s">
        <v>405</v>
      </c>
      <c r="E313" s="167" t="s">
        <v>432</v>
      </c>
      <c r="F313" s="167" t="s">
        <v>433</v>
      </c>
      <c r="G313" s="167"/>
      <c r="H313" s="125" t="s">
        <v>418</v>
      </c>
      <c r="I313" s="125" t="s">
        <v>418</v>
      </c>
      <c r="J313" s="173">
        <v>2026</v>
      </c>
      <c r="K313" s="153">
        <f>K314</f>
        <v>99611.4</v>
      </c>
      <c r="L313" s="153">
        <f t="shared" ref="L313:O313" si="101">L314</f>
        <v>42833.2</v>
      </c>
      <c r="M313" s="153">
        <f t="shared" si="101"/>
        <v>56778.2</v>
      </c>
      <c r="N313" s="169">
        <f t="shared" si="101"/>
        <v>0</v>
      </c>
      <c r="O313" s="169">
        <f t="shared" si="101"/>
        <v>0</v>
      </c>
      <c r="P313" s="173"/>
      <c r="Q313" s="194">
        <v>0</v>
      </c>
      <c r="R313" s="33"/>
      <c r="S313" s="21"/>
      <c r="T313" s="3"/>
      <c r="V313" s="10"/>
      <c r="W313" s="9"/>
      <c r="X313" s="9"/>
    </row>
    <row r="314" spans="1:24" s="7" customFormat="1" ht="35.25" customHeight="1" x14ac:dyDescent="0.35">
      <c r="A314" s="200"/>
      <c r="B314" s="156" t="s">
        <v>170</v>
      </c>
      <c r="C314" s="105"/>
      <c r="D314" s="105"/>
      <c r="E314" s="105"/>
      <c r="F314" s="105"/>
      <c r="G314" s="167"/>
      <c r="H314" s="105"/>
      <c r="I314" s="105"/>
      <c r="J314" s="173">
        <v>2026</v>
      </c>
      <c r="K314" s="153">
        <f>L314+M314+N314+O314</f>
        <v>99611.4</v>
      </c>
      <c r="L314" s="169">
        <v>42833.2</v>
      </c>
      <c r="M314" s="153">
        <v>56778.2</v>
      </c>
      <c r="N314" s="169">
        <v>0</v>
      </c>
      <c r="O314" s="169">
        <v>0</v>
      </c>
      <c r="P314" s="173"/>
      <c r="Q314" s="196"/>
      <c r="R314" s="33"/>
      <c r="S314" s="21"/>
      <c r="T314" s="3"/>
      <c r="V314" s="10"/>
      <c r="W314" s="9"/>
      <c r="X314" s="9"/>
    </row>
    <row r="315" spans="1:24" s="7" customFormat="1" ht="35.25" customHeight="1" x14ac:dyDescent="0.35">
      <c r="A315" s="288" t="s">
        <v>419</v>
      </c>
      <c r="B315" s="289"/>
      <c r="C315" s="289"/>
      <c r="D315" s="289"/>
      <c r="E315" s="289"/>
      <c r="F315" s="289"/>
      <c r="G315" s="289"/>
      <c r="H315" s="289"/>
      <c r="I315" s="289"/>
      <c r="J315" s="289"/>
      <c r="K315" s="289"/>
      <c r="L315" s="289"/>
      <c r="M315" s="289"/>
      <c r="N315" s="289"/>
      <c r="O315" s="289"/>
      <c r="P315" s="289"/>
      <c r="Q315" s="290"/>
      <c r="R315" s="33"/>
      <c r="S315" s="21"/>
      <c r="T315" s="3"/>
      <c r="V315" s="10"/>
      <c r="W315" s="9"/>
      <c r="X315" s="9"/>
    </row>
    <row r="316" spans="1:24" s="7" customFormat="1" ht="53.15" hidden="1" customHeight="1" x14ac:dyDescent="0.35">
      <c r="A316" s="199" t="s">
        <v>420</v>
      </c>
      <c r="B316" s="167" t="s">
        <v>421</v>
      </c>
      <c r="C316" s="167" t="s">
        <v>444</v>
      </c>
      <c r="D316" s="167" t="s">
        <v>254</v>
      </c>
      <c r="E316" s="167" t="s">
        <v>440</v>
      </c>
      <c r="F316" s="167" t="s">
        <v>445</v>
      </c>
      <c r="G316" s="167"/>
      <c r="H316" s="167" t="s">
        <v>422</v>
      </c>
      <c r="I316" s="167" t="s">
        <v>422</v>
      </c>
      <c r="J316" s="173">
        <v>2024</v>
      </c>
      <c r="K316" s="153">
        <f>K317</f>
        <v>0</v>
      </c>
      <c r="L316" s="169">
        <f t="shared" ref="L316:P316" si="102">L317</f>
        <v>0</v>
      </c>
      <c r="M316" s="153">
        <f t="shared" si="102"/>
        <v>0</v>
      </c>
      <c r="N316" s="153">
        <v>0</v>
      </c>
      <c r="O316" s="169">
        <f t="shared" si="102"/>
        <v>0</v>
      </c>
      <c r="P316" s="153">
        <f t="shared" si="102"/>
        <v>0</v>
      </c>
      <c r="Q316" s="194">
        <v>0</v>
      </c>
      <c r="R316" s="33"/>
      <c r="S316" s="21"/>
      <c r="T316" s="3"/>
      <c r="V316" s="10"/>
      <c r="W316" s="9"/>
      <c r="X316" s="9"/>
    </row>
    <row r="317" spans="1:24" s="7" customFormat="1" ht="35.25" hidden="1" customHeight="1" x14ac:dyDescent="0.35">
      <c r="A317" s="200"/>
      <c r="B317" s="167" t="s">
        <v>170</v>
      </c>
      <c r="C317" s="167"/>
      <c r="D317" s="105"/>
      <c r="E317" s="167"/>
      <c r="F317" s="167"/>
      <c r="G317" s="167"/>
      <c r="H317" s="105"/>
      <c r="I317" s="105"/>
      <c r="J317" s="173">
        <v>2024</v>
      </c>
      <c r="K317" s="153">
        <f>L317+M317+N317+O317</f>
        <v>0</v>
      </c>
      <c r="L317" s="169">
        <v>0</v>
      </c>
      <c r="M317" s="153">
        <v>0</v>
      </c>
      <c r="N317" s="153">
        <v>0</v>
      </c>
      <c r="O317" s="169">
        <v>0</v>
      </c>
      <c r="P317" s="173"/>
      <c r="Q317" s="196"/>
      <c r="R317" s="33"/>
      <c r="S317" s="21"/>
      <c r="T317" s="3"/>
      <c r="V317" s="10"/>
      <c r="W317" s="9"/>
      <c r="X317" s="9"/>
    </row>
    <row r="318" spans="1:24" s="7" customFormat="1" ht="95.7" customHeight="1" x14ac:dyDescent="0.35">
      <c r="A318" s="199" t="s">
        <v>476</v>
      </c>
      <c r="B318" s="146" t="s">
        <v>424</v>
      </c>
      <c r="C318" s="167" t="s">
        <v>437</v>
      </c>
      <c r="D318" s="167" t="s">
        <v>405</v>
      </c>
      <c r="E318" s="167" t="s">
        <v>435</v>
      </c>
      <c r="F318" s="167" t="s">
        <v>436</v>
      </c>
      <c r="G318" s="167"/>
      <c r="H318" s="167" t="s">
        <v>423</v>
      </c>
      <c r="I318" s="167" t="s">
        <v>423</v>
      </c>
      <c r="J318" s="173">
        <v>2026</v>
      </c>
      <c r="K318" s="153">
        <f>K319</f>
        <v>67917.82239999999</v>
      </c>
      <c r="L318" s="169">
        <f t="shared" ref="L318:N318" si="103">L319</f>
        <v>26868.3</v>
      </c>
      <c r="M318" s="169">
        <f t="shared" si="103"/>
        <v>35616.1</v>
      </c>
      <c r="N318" s="153">
        <f t="shared" si="103"/>
        <v>5433.4224000000004</v>
      </c>
      <c r="O318" s="169">
        <f>O319</f>
        <v>0</v>
      </c>
      <c r="P318" s="173"/>
      <c r="Q318" s="194">
        <v>0</v>
      </c>
      <c r="R318" s="33"/>
      <c r="S318" s="21"/>
      <c r="T318" s="3"/>
      <c r="V318" s="10"/>
      <c r="W318" s="9"/>
      <c r="X318" s="9"/>
    </row>
    <row r="319" spans="1:24" s="7" customFormat="1" ht="35.25" customHeight="1" x14ac:dyDescent="0.35">
      <c r="A319" s="200"/>
      <c r="B319" s="167" t="s">
        <v>170</v>
      </c>
      <c r="C319" s="105"/>
      <c r="D319" s="105"/>
      <c r="E319" s="105"/>
      <c r="F319" s="105"/>
      <c r="G319" s="167"/>
      <c r="H319" s="105"/>
      <c r="I319" s="105"/>
      <c r="J319" s="173">
        <v>2026</v>
      </c>
      <c r="K319" s="153">
        <f>L319+M319+N319+O319</f>
        <v>67917.82239999999</v>
      </c>
      <c r="L319" s="169">
        <v>26868.3</v>
      </c>
      <c r="M319" s="169">
        <v>35616.1</v>
      </c>
      <c r="N319" s="153">
        <v>5433.4224000000004</v>
      </c>
      <c r="O319" s="169">
        <v>0</v>
      </c>
      <c r="P319" s="173"/>
      <c r="Q319" s="196"/>
      <c r="R319" s="33"/>
      <c r="S319" s="21"/>
      <c r="T319" s="3"/>
      <c r="V319" s="10"/>
      <c r="W319" s="9"/>
      <c r="X319" s="9"/>
    </row>
    <row r="320" spans="1:24" s="7" customFormat="1" ht="35.25" customHeight="1" x14ac:dyDescent="0.35">
      <c r="A320" s="230" t="s">
        <v>425</v>
      </c>
      <c r="B320" s="291"/>
      <c r="C320" s="291"/>
      <c r="D320" s="291"/>
      <c r="E320" s="291"/>
      <c r="F320" s="291"/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2"/>
      <c r="R320" s="33"/>
      <c r="S320" s="21"/>
      <c r="T320" s="3"/>
      <c r="V320" s="10"/>
      <c r="W320" s="9"/>
      <c r="X320" s="9"/>
    </row>
    <row r="321" spans="1:24" s="7" customFormat="1" ht="50.15" customHeight="1" x14ac:dyDescent="0.35">
      <c r="A321" s="199" t="s">
        <v>428</v>
      </c>
      <c r="B321" s="146" t="s">
        <v>426</v>
      </c>
      <c r="C321" s="167" t="s">
        <v>438</v>
      </c>
      <c r="D321" s="167" t="s">
        <v>405</v>
      </c>
      <c r="E321" s="167" t="s">
        <v>440</v>
      </c>
      <c r="F321" s="167" t="s">
        <v>439</v>
      </c>
      <c r="G321" s="167"/>
      <c r="H321" s="167" t="s">
        <v>423</v>
      </c>
      <c r="I321" s="167" t="s">
        <v>423</v>
      </c>
      <c r="J321" s="173">
        <v>2026</v>
      </c>
      <c r="K321" s="153">
        <f>K322</f>
        <v>737.44140000000004</v>
      </c>
      <c r="L321" s="169">
        <f t="shared" ref="L321:O321" si="104">L322</f>
        <v>291.8</v>
      </c>
      <c r="M321" s="169">
        <f t="shared" si="104"/>
        <v>386.8</v>
      </c>
      <c r="N321" s="153">
        <f t="shared" si="104"/>
        <v>58.8414</v>
      </c>
      <c r="O321" s="152">
        <f t="shared" si="104"/>
        <v>0</v>
      </c>
      <c r="P321" s="173"/>
      <c r="Q321" s="194">
        <v>0</v>
      </c>
      <c r="R321" s="33"/>
      <c r="S321" s="21"/>
      <c r="T321" s="3"/>
      <c r="V321" s="10"/>
      <c r="W321" s="9"/>
      <c r="X321" s="9"/>
    </row>
    <row r="322" spans="1:24" s="7" customFormat="1" ht="35.25" customHeight="1" x14ac:dyDescent="0.35">
      <c r="A322" s="200"/>
      <c r="B322" s="167" t="s">
        <v>170</v>
      </c>
      <c r="C322" s="167"/>
      <c r="D322" s="105"/>
      <c r="E322" s="105"/>
      <c r="F322" s="105"/>
      <c r="G322" s="167"/>
      <c r="H322" s="105"/>
      <c r="I322" s="105"/>
      <c r="J322" s="173">
        <v>2026</v>
      </c>
      <c r="K322" s="153">
        <f>L322+M322+N322</f>
        <v>737.44140000000004</v>
      </c>
      <c r="L322" s="169">
        <v>291.8</v>
      </c>
      <c r="M322" s="169">
        <v>386.8</v>
      </c>
      <c r="N322" s="153">
        <v>58.8414</v>
      </c>
      <c r="O322" s="152">
        <v>0</v>
      </c>
      <c r="P322" s="173"/>
      <c r="Q322" s="196"/>
      <c r="R322" s="33"/>
      <c r="S322" s="21"/>
      <c r="T322" s="3"/>
      <c r="V322" s="10"/>
      <c r="W322" s="9"/>
      <c r="X322" s="9"/>
    </row>
    <row r="323" spans="1:24" s="7" customFormat="1" ht="49.4" customHeight="1" x14ac:dyDescent="0.35">
      <c r="A323" s="199" t="s">
        <v>427</v>
      </c>
      <c r="B323" s="146" t="s">
        <v>429</v>
      </c>
      <c r="C323" s="167" t="s">
        <v>442</v>
      </c>
      <c r="D323" s="105"/>
      <c r="E323" s="167" t="s">
        <v>440</v>
      </c>
      <c r="F323" s="167" t="s">
        <v>441</v>
      </c>
      <c r="G323" s="167"/>
      <c r="H323" s="167" t="s">
        <v>423</v>
      </c>
      <c r="I323" s="167" t="s">
        <v>423</v>
      </c>
      <c r="J323" s="173">
        <v>2026</v>
      </c>
      <c r="K323" s="153">
        <f>K324</f>
        <v>425.64784000000003</v>
      </c>
      <c r="L323" s="169">
        <f t="shared" ref="L323:O323" si="105">L324</f>
        <v>168.4</v>
      </c>
      <c r="M323" s="169">
        <f t="shared" si="105"/>
        <v>223.2</v>
      </c>
      <c r="N323" s="153">
        <f t="shared" si="105"/>
        <v>34.047840000000001</v>
      </c>
      <c r="O323" s="152">
        <f t="shared" si="105"/>
        <v>0</v>
      </c>
      <c r="P323" s="173"/>
      <c r="Q323" s="194">
        <v>0</v>
      </c>
      <c r="R323" s="33"/>
      <c r="S323" s="21"/>
      <c r="T323" s="3"/>
      <c r="V323" s="10"/>
      <c r="W323" s="9"/>
      <c r="X323" s="9"/>
    </row>
    <row r="324" spans="1:24" s="7" customFormat="1" ht="49.4" customHeight="1" x14ac:dyDescent="0.35">
      <c r="A324" s="200"/>
      <c r="B324" s="167" t="s">
        <v>170</v>
      </c>
      <c r="C324" s="167"/>
      <c r="D324" s="105"/>
      <c r="E324" s="105"/>
      <c r="F324" s="105"/>
      <c r="G324" s="167"/>
      <c r="H324" s="105"/>
      <c r="I324" s="105"/>
      <c r="J324" s="173">
        <v>2026</v>
      </c>
      <c r="K324" s="153">
        <f>L324+M324+N324+O324</f>
        <v>425.64784000000003</v>
      </c>
      <c r="L324" s="169">
        <v>168.4</v>
      </c>
      <c r="M324" s="169">
        <v>223.2</v>
      </c>
      <c r="N324" s="153">
        <v>34.047840000000001</v>
      </c>
      <c r="O324" s="152">
        <v>0</v>
      </c>
      <c r="P324" s="173"/>
      <c r="Q324" s="196"/>
      <c r="R324" s="33"/>
      <c r="S324" s="21"/>
      <c r="T324" s="3"/>
      <c r="V324" s="10"/>
      <c r="W324" s="9"/>
      <c r="X324" s="9"/>
    </row>
    <row r="325" spans="1:24" s="7" customFormat="1" ht="54" customHeight="1" x14ac:dyDescent="0.35">
      <c r="A325" s="199" t="s">
        <v>430</v>
      </c>
      <c r="B325" s="146" t="s">
        <v>431</v>
      </c>
      <c r="C325" s="167" t="s">
        <v>438</v>
      </c>
      <c r="D325" s="105"/>
      <c r="E325" s="167" t="s">
        <v>440</v>
      </c>
      <c r="F325" s="167" t="s">
        <v>443</v>
      </c>
      <c r="G325" s="167"/>
      <c r="H325" s="167" t="s">
        <v>423</v>
      </c>
      <c r="I325" s="167" t="s">
        <v>423</v>
      </c>
      <c r="J325" s="173">
        <v>2026</v>
      </c>
      <c r="K325" s="153">
        <f>K326</f>
        <v>505.76152999999994</v>
      </c>
      <c r="L325" s="169">
        <f t="shared" ref="L325:O325" si="106">L326</f>
        <v>200.1</v>
      </c>
      <c r="M325" s="169">
        <f t="shared" si="106"/>
        <v>265.2</v>
      </c>
      <c r="N325" s="153">
        <f t="shared" si="106"/>
        <v>40.461530000000003</v>
      </c>
      <c r="O325" s="152">
        <f t="shared" si="106"/>
        <v>0</v>
      </c>
      <c r="P325" s="173"/>
      <c r="Q325" s="194">
        <v>0</v>
      </c>
      <c r="R325" s="33"/>
      <c r="S325" s="21"/>
      <c r="T325" s="3"/>
      <c r="V325" s="10"/>
      <c r="W325" s="9"/>
      <c r="X325" s="9"/>
    </row>
    <row r="326" spans="1:24" s="7" customFormat="1" ht="35.25" customHeight="1" x14ac:dyDescent="0.35">
      <c r="A326" s="200"/>
      <c r="B326" s="167" t="s">
        <v>170</v>
      </c>
      <c r="C326" s="167"/>
      <c r="D326" s="105"/>
      <c r="E326" s="167"/>
      <c r="F326" s="167"/>
      <c r="G326" s="167"/>
      <c r="H326" s="105"/>
      <c r="I326" s="105"/>
      <c r="J326" s="173">
        <v>2026</v>
      </c>
      <c r="K326" s="153">
        <f>L326+M326+N326+O326</f>
        <v>505.76152999999994</v>
      </c>
      <c r="L326" s="169">
        <v>200.1</v>
      </c>
      <c r="M326" s="169">
        <v>265.2</v>
      </c>
      <c r="N326" s="153">
        <v>40.461530000000003</v>
      </c>
      <c r="O326" s="152">
        <v>0</v>
      </c>
      <c r="P326" s="173"/>
      <c r="Q326" s="196"/>
      <c r="R326" s="33"/>
      <c r="S326" s="21"/>
      <c r="T326" s="3"/>
      <c r="V326" s="10"/>
      <c r="W326" s="9"/>
      <c r="X326" s="9"/>
    </row>
    <row r="327" spans="1:24" s="7" customFormat="1" ht="14.25" customHeight="1" x14ac:dyDescent="0.35">
      <c r="A327" s="273"/>
      <c r="B327" s="273" t="s">
        <v>399</v>
      </c>
      <c r="C327" s="279"/>
      <c r="D327" s="280"/>
      <c r="E327" s="280"/>
      <c r="F327" s="280"/>
      <c r="G327" s="280"/>
      <c r="H327" s="280"/>
      <c r="I327" s="281"/>
      <c r="J327" s="129">
        <v>2022</v>
      </c>
      <c r="K327" s="130">
        <f>L327+M327+N327+O327</f>
        <v>984776.23095999984</v>
      </c>
      <c r="L327" s="130">
        <f>L312+L309+L307+L305+L301+L298+L283+L252+L246+L243+L233+L227+L225+L223+L216+L211+L201+L168+L164+L157+L152+L144+L136+L128+L117+L114</f>
        <v>62743.899999999994</v>
      </c>
      <c r="M327" s="130">
        <f>M312+M309+M307+M305+M301+M298+M283+M252+M246+M243+M233+M227+M225+M223+M216+M211+M201+M168+M164+M157+M152+M144+M136+M128+M117+M114</f>
        <v>882429.84288999985</v>
      </c>
      <c r="N327" s="130">
        <f>N312+N309+N307+N305+N301+N298+N283+N252+N246+N243+N233+N227+N225+N223+N216+N211+N201+N168+N164+N157+N152+N144+N136+N128+N117+N114</f>
        <v>38577.488069999999</v>
      </c>
      <c r="O327" s="130">
        <f>O312+O309+O307+O305+O301+O298+O283+O252+O246+O243+O233+O227+O225+O223+O216+O211+O201+O168+O164+O157+O152+O144+O136+O128+O117+O114</f>
        <v>1025</v>
      </c>
      <c r="P327" s="131" t="e">
        <f>P301+P298+P295+P283+P252+P246+P227+P216+P211+P201+P164+P144+#REF!+P136+P114+P152+P168+P128+P157+P225+P223+P233+P117</f>
        <v>#REF!</v>
      </c>
      <c r="Q327" s="273"/>
      <c r="R327" s="33"/>
      <c r="S327" s="21">
        <v>3157.2</v>
      </c>
      <c r="T327" s="3"/>
      <c r="V327" s="10"/>
      <c r="W327" s="9"/>
      <c r="X327" s="9"/>
    </row>
    <row r="328" spans="1:24" s="7" customFormat="1" ht="14.25" customHeight="1" x14ac:dyDescent="0.35">
      <c r="A328" s="274"/>
      <c r="B328" s="274"/>
      <c r="C328" s="282"/>
      <c r="D328" s="283"/>
      <c r="E328" s="283"/>
      <c r="F328" s="283"/>
      <c r="G328" s="283"/>
      <c r="H328" s="283"/>
      <c r="I328" s="284"/>
      <c r="J328" s="174">
        <v>2023</v>
      </c>
      <c r="K328" s="131">
        <f t="shared" ref="K328:K329" si="107">L328+M328+N328+O328</f>
        <v>458717.82145999995</v>
      </c>
      <c r="L328" s="131">
        <f>L218+L212+L202+L184+L179+L176+L171+L165+L137+L115+L145+L185+L172+L180</f>
        <v>0</v>
      </c>
      <c r="M328" s="131">
        <f>M218+M212+M202+M184+M179+M176+M171+M165+M137+M115+M145+M185+M172+M180</f>
        <v>456244.93145999993</v>
      </c>
      <c r="N328" s="131">
        <f>N218+N212+N202+N184+N179+N176+N171+N165+N137+N115+N145+N185+N172+N180</f>
        <v>2472.89</v>
      </c>
      <c r="O328" s="131">
        <f>O218+O212+O202+O184+O179+O176+O171+O165+O137+O115+O145+O185+O172+O180</f>
        <v>0</v>
      </c>
      <c r="P328" s="132"/>
      <c r="Q328" s="274"/>
      <c r="R328" s="33">
        <f>M328-505100.22394</f>
        <v>-48855.292480000062</v>
      </c>
      <c r="S328" s="21"/>
      <c r="T328" s="3">
        <f>S327*T312/S312</f>
        <v>814.73636999999962</v>
      </c>
      <c r="V328" s="10"/>
      <c r="W328" s="9"/>
      <c r="X328" s="9"/>
    </row>
    <row r="329" spans="1:24" s="7" customFormat="1" ht="14.25" customHeight="1" x14ac:dyDescent="0.35">
      <c r="A329" s="274"/>
      <c r="B329" s="274"/>
      <c r="C329" s="282"/>
      <c r="D329" s="283"/>
      <c r="E329" s="283"/>
      <c r="F329" s="283"/>
      <c r="G329" s="283"/>
      <c r="H329" s="283"/>
      <c r="I329" s="284"/>
      <c r="J329" s="174">
        <v>2024</v>
      </c>
      <c r="K329" s="131">
        <f t="shared" si="107"/>
        <v>601261.31441999984</v>
      </c>
      <c r="L329" s="131">
        <f>L250+L248+L231+L229++L121+L119+L123+L146+L203+L219+L317+L138+L166+L173+L181+L213+L239+L260</f>
        <v>0</v>
      </c>
      <c r="M329" s="131">
        <f t="shared" ref="M329:O329" si="108">M250+M248+M231+M229++M121+M119+M123+M146+M203+M219+M317+M138+M166+M173+M181+M213+M239+M260</f>
        <v>596290.75236999989</v>
      </c>
      <c r="N329" s="131">
        <f t="shared" si="108"/>
        <v>4970.5620500000005</v>
      </c>
      <c r="O329" s="131">
        <f t="shared" si="108"/>
        <v>0</v>
      </c>
      <c r="P329" s="131" t="e">
        <f>P250+P248+P231+P229+#REF!+P121+P119+P123</f>
        <v>#REF!</v>
      </c>
      <c r="Q329" s="274"/>
      <c r="R329" s="33"/>
      <c r="S329" s="21"/>
      <c r="T329" s="3"/>
      <c r="V329" s="10"/>
      <c r="W329" s="9"/>
      <c r="X329" s="9"/>
    </row>
    <row r="330" spans="1:24" s="7" customFormat="1" ht="14.25" customHeight="1" x14ac:dyDescent="0.35">
      <c r="A330" s="274"/>
      <c r="B330" s="274"/>
      <c r="C330" s="282"/>
      <c r="D330" s="283"/>
      <c r="E330" s="283"/>
      <c r="F330" s="283"/>
      <c r="G330" s="283"/>
      <c r="H330" s="283"/>
      <c r="I330" s="284"/>
      <c r="J330" s="174">
        <v>2025</v>
      </c>
      <c r="K330" s="131">
        <f>L330+M330+N330+O330</f>
        <v>571879.56763999991</v>
      </c>
      <c r="L330" s="133">
        <f>L258+L220+L256+L240</f>
        <v>40980.699999999997</v>
      </c>
      <c r="M330" s="133">
        <f t="shared" ref="M330:O330" si="109">M258+M220+M256+M240</f>
        <v>524555.5</v>
      </c>
      <c r="N330" s="133">
        <f t="shared" si="109"/>
        <v>6343.3676400000004</v>
      </c>
      <c r="O330" s="133">
        <f t="shared" si="109"/>
        <v>0</v>
      </c>
      <c r="P330" s="133">
        <f>P258+P220</f>
        <v>0</v>
      </c>
      <c r="Q330" s="274"/>
      <c r="R330" s="33"/>
      <c r="S330" s="21"/>
      <c r="T330" s="3"/>
      <c r="V330" s="10"/>
      <c r="W330" s="9"/>
      <c r="X330" s="9"/>
    </row>
    <row r="331" spans="1:24" s="7" customFormat="1" ht="14.25" customHeight="1" x14ac:dyDescent="0.35">
      <c r="A331" s="275"/>
      <c r="B331" s="275"/>
      <c r="C331" s="285"/>
      <c r="D331" s="286"/>
      <c r="E331" s="286"/>
      <c r="F331" s="286"/>
      <c r="G331" s="286"/>
      <c r="H331" s="286"/>
      <c r="I331" s="287"/>
      <c r="J331" s="174">
        <v>2026</v>
      </c>
      <c r="K331" s="131">
        <f>K125</f>
        <v>171026.30559999999</v>
      </c>
      <c r="L331" s="133">
        <f>L125+L221+L235+L237+L254+L314+L319+L322+L324+L326</f>
        <v>277785.29999999993</v>
      </c>
      <c r="M331" s="133">
        <f>M125+M221+M235+M237+M254+M314+M319+M322+M324+M326</f>
        <v>410855.39999999997</v>
      </c>
      <c r="N331" s="133">
        <f>N125+N221+N235+N237+N254+N314+N319+N322+N324+N326</f>
        <v>22112.606609999999</v>
      </c>
      <c r="O331" s="133">
        <f>O125+O221+O235+O237+O254+O314+O319+O322+O324+O326</f>
        <v>110000</v>
      </c>
      <c r="P331" s="133">
        <f>P125+P221+P235+P237+P254+P314+P319+P322+P324</f>
        <v>0</v>
      </c>
      <c r="Q331" s="274"/>
      <c r="R331" s="33"/>
      <c r="S331" s="21"/>
      <c r="T331" s="3"/>
      <c r="V331" s="10"/>
      <c r="W331" s="9"/>
      <c r="X331" s="9"/>
    </row>
    <row r="332" spans="1:24" s="7" customFormat="1" ht="14.25" hidden="1" customHeight="1" x14ac:dyDescent="0.35">
      <c r="A332" s="158"/>
      <c r="B332" s="158"/>
      <c r="C332" s="159"/>
      <c r="D332" s="160"/>
      <c r="E332" s="160"/>
      <c r="F332" s="160"/>
      <c r="G332" s="160"/>
      <c r="H332" s="160"/>
      <c r="I332" s="161"/>
      <c r="J332" s="174"/>
      <c r="K332" s="131"/>
      <c r="L332" s="131"/>
      <c r="M332" s="131"/>
      <c r="N332" s="131"/>
      <c r="O332" s="131"/>
      <c r="P332" s="131"/>
      <c r="Q332" s="274"/>
      <c r="R332" s="33"/>
      <c r="S332" s="21"/>
      <c r="T332" s="3"/>
      <c r="V332" s="10"/>
      <c r="W332" s="9"/>
      <c r="X332" s="9"/>
    </row>
    <row r="333" spans="1:24" s="7" customFormat="1" ht="14.25" hidden="1" customHeight="1" x14ac:dyDescent="0.35">
      <c r="A333" s="158"/>
      <c r="B333" s="158"/>
      <c r="C333" s="159"/>
      <c r="D333" s="160"/>
      <c r="E333" s="160"/>
      <c r="F333" s="160"/>
      <c r="G333" s="160"/>
      <c r="H333" s="160"/>
      <c r="I333" s="161"/>
      <c r="J333" s="174"/>
      <c r="K333" s="131"/>
      <c r="L333" s="131"/>
      <c r="M333" s="131"/>
      <c r="N333" s="131"/>
      <c r="O333" s="131"/>
      <c r="P333" s="131"/>
      <c r="Q333" s="274"/>
      <c r="R333" s="33"/>
      <c r="S333" s="21"/>
      <c r="T333" s="3"/>
      <c r="V333" s="10"/>
      <c r="W333" s="9"/>
      <c r="X333" s="9"/>
    </row>
    <row r="334" spans="1:24" s="7" customFormat="1" ht="14.25" hidden="1" customHeight="1" x14ac:dyDescent="0.35">
      <c r="A334" s="158"/>
      <c r="B334" s="158"/>
      <c r="C334" s="159"/>
      <c r="D334" s="160"/>
      <c r="E334" s="160"/>
      <c r="F334" s="160"/>
      <c r="G334" s="160"/>
      <c r="H334" s="160"/>
      <c r="I334" s="161"/>
      <c r="J334" s="174"/>
      <c r="K334" s="131"/>
      <c r="L334" s="131"/>
      <c r="M334" s="131"/>
      <c r="N334" s="131"/>
      <c r="O334" s="131"/>
      <c r="P334" s="131"/>
      <c r="Q334" s="274"/>
      <c r="R334" s="33"/>
      <c r="S334" s="21"/>
      <c r="T334" s="3"/>
      <c r="V334" s="10"/>
      <c r="W334" s="9"/>
      <c r="X334" s="9"/>
    </row>
    <row r="335" spans="1:24" ht="18.649999999999999" hidden="1" customHeight="1" x14ac:dyDescent="0.35">
      <c r="A335" s="271"/>
      <c r="B335" s="271" t="s">
        <v>215</v>
      </c>
      <c r="C335" s="272"/>
      <c r="D335" s="272"/>
      <c r="E335" s="272"/>
      <c r="F335" s="272"/>
      <c r="G335" s="272"/>
      <c r="H335" s="272"/>
      <c r="I335" s="272"/>
      <c r="J335" s="134">
        <v>2020</v>
      </c>
      <c r="K335" s="135" t="e">
        <f>L335+M335+N335+O335</f>
        <v>#REF!</v>
      </c>
      <c r="L335" s="135" t="e">
        <f>#REF!+L105+#REF!+#REF!+#REF!+#REF!</f>
        <v>#REF!</v>
      </c>
      <c r="M335" s="135" t="e">
        <f>#REF!+M105+#REF!+#REF!+#REF!+#REF!</f>
        <v>#REF!</v>
      </c>
      <c r="N335" s="135" t="e">
        <f>#REF!+N105+#REF!+#REF!+#REF!+#REF!</f>
        <v>#REF!</v>
      </c>
      <c r="O335" s="135" t="e">
        <f>#REF!+O105+#REF!+#REF!+#REF!+#REF!</f>
        <v>#REF!</v>
      </c>
      <c r="P335" s="135" t="e">
        <f>#REF!+#REF!+#REF!+#REF!</f>
        <v>#REF!</v>
      </c>
      <c r="Q335" s="274"/>
      <c r="R335" s="15"/>
    </row>
    <row r="336" spans="1:24" ht="18.649999999999999" hidden="1" customHeight="1" x14ac:dyDescent="0.35">
      <c r="A336" s="271"/>
      <c r="B336" s="271"/>
      <c r="C336" s="272"/>
      <c r="D336" s="272"/>
      <c r="E336" s="272"/>
      <c r="F336" s="272"/>
      <c r="G336" s="272"/>
      <c r="H336" s="272"/>
      <c r="I336" s="272"/>
      <c r="J336" s="134">
        <v>2021</v>
      </c>
      <c r="K336" s="135" t="e">
        <f t="shared" ref="K336" si="110">L336+M336+N336+O336</f>
        <v>#REF!</v>
      </c>
      <c r="L336" s="135" t="e">
        <f>#REF!+L106+#REF!+#REF!+#REF!+#REF!</f>
        <v>#REF!</v>
      </c>
      <c r="M336" s="135" t="e">
        <f>#REF!+M106+#REF!+#REF!+#REF!+#REF!</f>
        <v>#REF!</v>
      </c>
      <c r="N336" s="135" t="e">
        <f>#REF!+N106+#REF!+#REF!+#REF!+#REF!</f>
        <v>#REF!</v>
      </c>
      <c r="O336" s="135" t="e">
        <f>#REF!+O106+#REF!+#REF!+#REF!+#REF!</f>
        <v>#REF!</v>
      </c>
      <c r="P336" s="135" t="e">
        <f>#REF!+P106+#REF!+#REF!+#REF!+#REF!</f>
        <v>#REF!</v>
      </c>
      <c r="Q336" s="274"/>
      <c r="R336" s="40"/>
    </row>
    <row r="337" spans="1:18" ht="18.649999999999999" customHeight="1" x14ac:dyDescent="0.35">
      <c r="A337" s="271"/>
      <c r="B337" s="271"/>
      <c r="C337" s="272"/>
      <c r="D337" s="272"/>
      <c r="E337" s="272"/>
      <c r="F337" s="272"/>
      <c r="G337" s="272"/>
      <c r="H337" s="272"/>
      <c r="I337" s="272"/>
      <c r="J337" s="134">
        <v>2022</v>
      </c>
      <c r="K337" s="131">
        <f t="shared" ref="K337:O339" si="111">K327+K95</f>
        <v>1339691.4462899999</v>
      </c>
      <c r="L337" s="131">
        <f t="shared" si="111"/>
        <v>115896.7</v>
      </c>
      <c r="M337" s="131">
        <f t="shared" si="111"/>
        <v>1124326.8154899999</v>
      </c>
      <c r="N337" s="131">
        <f t="shared" si="111"/>
        <v>41780.541319999997</v>
      </c>
      <c r="O337" s="131">
        <f t="shared" si="111"/>
        <v>57687.389479999998</v>
      </c>
      <c r="P337" s="135"/>
      <c r="Q337" s="274"/>
      <c r="R337" s="70"/>
    </row>
    <row r="338" spans="1:18" ht="18.649999999999999" customHeight="1" x14ac:dyDescent="0.35">
      <c r="A338" s="271"/>
      <c r="B338" s="271"/>
      <c r="C338" s="272"/>
      <c r="D338" s="272"/>
      <c r="E338" s="272"/>
      <c r="F338" s="272"/>
      <c r="G338" s="272"/>
      <c r="H338" s="272"/>
      <c r="I338" s="272"/>
      <c r="J338" s="134">
        <v>2023</v>
      </c>
      <c r="K338" s="131">
        <f t="shared" si="111"/>
        <v>840797.30651000002</v>
      </c>
      <c r="L338" s="131">
        <f t="shared" si="111"/>
        <v>17206.2</v>
      </c>
      <c r="M338" s="131">
        <f t="shared" si="111"/>
        <v>733778.55991999991</v>
      </c>
      <c r="N338" s="131">
        <f t="shared" si="111"/>
        <v>10150.54659</v>
      </c>
      <c r="O338" s="131">
        <f t="shared" si="111"/>
        <v>79662</v>
      </c>
      <c r="P338" s="135" t="e">
        <f>#REF!+#REF!+#REF!</f>
        <v>#REF!</v>
      </c>
      <c r="Q338" s="274"/>
      <c r="R338" s="70"/>
    </row>
    <row r="339" spans="1:18" ht="18.649999999999999" customHeight="1" x14ac:dyDescent="0.35">
      <c r="A339" s="271"/>
      <c r="B339" s="271"/>
      <c r="C339" s="272"/>
      <c r="D339" s="272"/>
      <c r="E339" s="272"/>
      <c r="F339" s="272"/>
      <c r="G339" s="272"/>
      <c r="H339" s="272"/>
      <c r="I339" s="272"/>
      <c r="J339" s="134">
        <v>2024</v>
      </c>
      <c r="K339" s="131">
        <f t="shared" si="111"/>
        <v>869161.05886999983</v>
      </c>
      <c r="L339" s="131">
        <f t="shared" si="111"/>
        <v>40334.9</v>
      </c>
      <c r="M339" s="131">
        <f t="shared" si="111"/>
        <v>807686.55236999993</v>
      </c>
      <c r="N339" s="131">
        <f t="shared" si="111"/>
        <v>11659.606500000002</v>
      </c>
      <c r="O339" s="131">
        <f t="shared" si="111"/>
        <v>9480</v>
      </c>
      <c r="P339" s="135"/>
      <c r="Q339" s="274"/>
      <c r="R339" s="15"/>
    </row>
    <row r="340" spans="1:18" ht="18.649999999999999" customHeight="1" x14ac:dyDescent="0.35">
      <c r="A340" s="271"/>
      <c r="B340" s="271"/>
      <c r="C340" s="272"/>
      <c r="D340" s="272"/>
      <c r="E340" s="272"/>
      <c r="F340" s="272"/>
      <c r="G340" s="272"/>
      <c r="H340" s="272"/>
      <c r="I340" s="272"/>
      <c r="J340" s="134">
        <v>2025</v>
      </c>
      <c r="K340" s="131">
        <f t="shared" ref="K340:P340" si="112">K98+K330</f>
        <v>797621.46763999993</v>
      </c>
      <c r="L340" s="131">
        <f t="shared" si="112"/>
        <v>40980.699999999997</v>
      </c>
      <c r="M340" s="131">
        <f t="shared" si="112"/>
        <v>739010.3</v>
      </c>
      <c r="N340" s="131">
        <f t="shared" si="112"/>
        <v>6343.3676400000004</v>
      </c>
      <c r="O340" s="131">
        <f t="shared" si="112"/>
        <v>11287.1</v>
      </c>
      <c r="P340" s="131">
        <f t="shared" si="112"/>
        <v>0</v>
      </c>
      <c r="Q340" s="274"/>
      <c r="R340" s="15"/>
    </row>
    <row r="341" spans="1:18" ht="18.649999999999999" customHeight="1" x14ac:dyDescent="0.35">
      <c r="A341" s="271"/>
      <c r="B341" s="271"/>
      <c r="C341" s="272"/>
      <c r="D341" s="272"/>
      <c r="E341" s="272"/>
      <c r="F341" s="272"/>
      <c r="G341" s="272"/>
      <c r="H341" s="272"/>
      <c r="I341" s="272"/>
      <c r="J341" s="134">
        <v>2026</v>
      </c>
      <c r="K341" s="131">
        <f t="shared" ref="K341:O341" si="113">K99</f>
        <v>227235.8</v>
      </c>
      <c r="L341" s="131">
        <f t="shared" si="113"/>
        <v>0</v>
      </c>
      <c r="M341" s="131">
        <f t="shared" si="113"/>
        <v>215874</v>
      </c>
      <c r="N341" s="131">
        <f t="shared" si="113"/>
        <v>0</v>
      </c>
      <c r="O341" s="131">
        <f t="shared" si="113"/>
        <v>11361.8</v>
      </c>
      <c r="P341" s="135"/>
      <c r="Q341" s="274"/>
      <c r="R341" s="15"/>
    </row>
    <row r="342" spans="1:18" ht="18.649999999999999" customHeight="1" x14ac:dyDescent="0.35">
      <c r="A342" s="271"/>
      <c r="B342" s="271"/>
      <c r="C342" s="272"/>
      <c r="D342" s="272"/>
      <c r="E342" s="272"/>
      <c r="F342" s="272"/>
      <c r="G342" s="272"/>
      <c r="H342" s="272"/>
      <c r="I342" s="272"/>
      <c r="J342" s="134">
        <v>2027</v>
      </c>
      <c r="K342" s="131">
        <f t="shared" ref="K342:O342" si="114">K100</f>
        <v>227235.8</v>
      </c>
      <c r="L342" s="131">
        <f t="shared" si="114"/>
        <v>0</v>
      </c>
      <c r="M342" s="131">
        <f t="shared" si="114"/>
        <v>215874</v>
      </c>
      <c r="N342" s="131">
        <f t="shared" si="114"/>
        <v>0</v>
      </c>
      <c r="O342" s="131">
        <f t="shared" si="114"/>
        <v>11361.8</v>
      </c>
      <c r="P342" s="135"/>
      <c r="Q342" s="274"/>
      <c r="R342" s="15"/>
    </row>
    <row r="343" spans="1:18" ht="18.649999999999999" customHeight="1" x14ac:dyDescent="0.35">
      <c r="A343" s="271"/>
      <c r="B343" s="271"/>
      <c r="C343" s="272"/>
      <c r="D343" s="272"/>
      <c r="E343" s="272"/>
      <c r="F343" s="272"/>
      <c r="G343" s="272"/>
      <c r="H343" s="272"/>
      <c r="I343" s="272"/>
      <c r="J343" s="134">
        <v>2028</v>
      </c>
      <c r="K343" s="131">
        <f t="shared" ref="K343:O343" si="115">K101</f>
        <v>227235.8</v>
      </c>
      <c r="L343" s="131">
        <f t="shared" si="115"/>
        <v>0</v>
      </c>
      <c r="M343" s="131">
        <f t="shared" si="115"/>
        <v>215874</v>
      </c>
      <c r="N343" s="131">
        <f t="shared" si="115"/>
        <v>0</v>
      </c>
      <c r="O343" s="131">
        <f t="shared" si="115"/>
        <v>11361.8</v>
      </c>
      <c r="P343" s="135"/>
      <c r="Q343" s="274"/>
      <c r="R343" s="15"/>
    </row>
    <row r="344" spans="1:18" ht="18.649999999999999" customHeight="1" x14ac:dyDescent="0.35">
      <c r="A344" s="271"/>
      <c r="B344" s="271"/>
      <c r="C344" s="272"/>
      <c r="D344" s="272"/>
      <c r="E344" s="272"/>
      <c r="F344" s="272"/>
      <c r="G344" s="272"/>
      <c r="H344" s="272"/>
      <c r="I344" s="272"/>
      <c r="J344" s="134">
        <v>2029</v>
      </c>
      <c r="K344" s="131">
        <f t="shared" ref="K344:O344" si="116">K102</f>
        <v>227235.8</v>
      </c>
      <c r="L344" s="131">
        <f t="shared" si="116"/>
        <v>0</v>
      </c>
      <c r="M344" s="131">
        <f t="shared" si="116"/>
        <v>215874</v>
      </c>
      <c r="N344" s="131">
        <f t="shared" si="116"/>
        <v>0</v>
      </c>
      <c r="O344" s="131">
        <f t="shared" si="116"/>
        <v>11361.8</v>
      </c>
      <c r="P344" s="135"/>
      <c r="Q344" s="274"/>
      <c r="R344" s="15"/>
    </row>
    <row r="345" spans="1:18" ht="18.649999999999999" customHeight="1" x14ac:dyDescent="0.35">
      <c r="A345" s="271"/>
      <c r="B345" s="271"/>
      <c r="C345" s="272"/>
      <c r="D345" s="272"/>
      <c r="E345" s="272"/>
      <c r="F345" s="272"/>
      <c r="G345" s="272"/>
      <c r="H345" s="272"/>
      <c r="I345" s="272"/>
      <c r="J345" s="134">
        <v>2030</v>
      </c>
      <c r="K345" s="131">
        <f t="shared" ref="K345:O345" si="117">K103</f>
        <v>227235.8</v>
      </c>
      <c r="L345" s="131">
        <f t="shared" si="117"/>
        <v>0</v>
      </c>
      <c r="M345" s="131">
        <f t="shared" si="117"/>
        <v>215874</v>
      </c>
      <c r="N345" s="131">
        <f t="shared" si="117"/>
        <v>0</v>
      </c>
      <c r="O345" s="131">
        <f t="shared" si="117"/>
        <v>11361.8</v>
      </c>
      <c r="P345" s="135"/>
      <c r="Q345" s="275"/>
      <c r="R345" s="15"/>
    </row>
    <row r="346" spans="1:18" ht="18.649999999999999" customHeight="1" x14ac:dyDescent="0.35">
      <c r="A346" s="226" t="s">
        <v>32</v>
      </c>
      <c r="B346" s="227"/>
      <c r="C346" s="186"/>
      <c r="D346" s="136"/>
      <c r="E346" s="136"/>
      <c r="F346" s="136"/>
      <c r="G346" s="136"/>
      <c r="H346" s="136"/>
      <c r="I346" s="136"/>
      <c r="J346" s="137"/>
      <c r="K346" s="138"/>
      <c r="L346" s="138"/>
      <c r="M346" s="138"/>
      <c r="N346" s="138"/>
      <c r="O346" s="138"/>
      <c r="P346" s="138" t="e">
        <f>#REF!+P93</f>
        <v>#REF!</v>
      </c>
      <c r="Q346" s="136"/>
      <c r="R346" s="15"/>
    </row>
    <row r="347" spans="1:18" ht="12.75" customHeight="1" x14ac:dyDescent="0.35">
      <c r="A347" s="226" t="s">
        <v>382</v>
      </c>
      <c r="B347" s="226"/>
      <c r="C347" s="226"/>
      <c r="D347" s="226"/>
      <c r="E347" s="226"/>
      <c r="F347" s="136"/>
      <c r="G347" s="136"/>
      <c r="H347" s="136"/>
      <c r="I347" s="136"/>
      <c r="J347" s="137"/>
      <c r="K347" s="138"/>
      <c r="L347" s="138"/>
      <c r="M347" s="138"/>
      <c r="N347" s="138"/>
      <c r="O347" s="138"/>
      <c r="P347" s="138"/>
      <c r="Q347" s="136"/>
      <c r="R347" s="15"/>
    </row>
    <row r="348" spans="1:18" x14ac:dyDescent="0.35">
      <c r="A348" s="223" t="s">
        <v>381</v>
      </c>
      <c r="B348" s="223"/>
      <c r="C348" s="223"/>
      <c r="D348" s="223"/>
      <c r="E348" s="223"/>
      <c r="F348" s="64"/>
      <c r="G348" s="64"/>
      <c r="H348" s="64"/>
      <c r="I348" s="64"/>
      <c r="J348" s="139"/>
      <c r="K348" s="138"/>
      <c r="L348" s="138"/>
      <c r="M348" s="138"/>
      <c r="N348" s="138"/>
      <c r="O348" s="138"/>
      <c r="P348" s="63"/>
      <c r="Q348" s="63"/>
      <c r="R348" s="15"/>
    </row>
    <row r="349" spans="1:18" x14ac:dyDescent="0.35">
      <c r="A349" s="223" t="s">
        <v>44</v>
      </c>
      <c r="B349" s="224"/>
      <c r="C349" s="224"/>
      <c r="D349" s="224"/>
      <c r="E349" s="225"/>
      <c r="F349" s="225"/>
      <c r="G349" s="225"/>
      <c r="H349" s="225"/>
      <c r="I349" s="225"/>
      <c r="J349" s="225"/>
      <c r="K349" s="225"/>
      <c r="L349" s="225"/>
      <c r="M349" s="63"/>
      <c r="N349" s="63"/>
      <c r="O349" s="63"/>
      <c r="P349" s="63"/>
      <c r="Q349" s="63"/>
      <c r="R349" s="15"/>
    </row>
    <row r="350" spans="1:18" ht="14.6" x14ac:dyDescent="0.4">
      <c r="A350" s="35" t="s">
        <v>380</v>
      </c>
      <c r="K350" s="59"/>
      <c r="L350" s="59"/>
      <c r="M350" s="59"/>
      <c r="N350" s="59"/>
      <c r="O350" s="59"/>
      <c r="Q350" s="140"/>
      <c r="R350" s="15"/>
    </row>
    <row r="351" spans="1:18" x14ac:dyDescent="0.35">
      <c r="A351" s="141" t="s">
        <v>378</v>
      </c>
      <c r="E351" s="35"/>
      <c r="F351" s="35"/>
      <c r="G351" s="35"/>
      <c r="H351" s="35"/>
      <c r="I351" s="35"/>
      <c r="J351" s="35"/>
      <c r="Q351" s="35"/>
      <c r="R351" s="15"/>
    </row>
    <row r="352" spans="1:18" x14ac:dyDescent="0.35">
      <c r="A352" s="222"/>
      <c r="B352" s="221"/>
      <c r="C352" s="149"/>
      <c r="D352" s="41"/>
      <c r="E352" s="75"/>
      <c r="F352" s="75"/>
      <c r="G352" s="75"/>
      <c r="H352" s="75"/>
      <c r="I352" s="75"/>
      <c r="J352" s="76"/>
      <c r="K352" s="77"/>
      <c r="L352" s="41"/>
      <c r="M352" s="41"/>
      <c r="N352" s="41"/>
      <c r="R352" s="15"/>
    </row>
    <row r="353" spans="1:18" hidden="1" x14ac:dyDescent="0.35">
      <c r="A353" s="221"/>
      <c r="B353" s="221"/>
      <c r="C353" s="221"/>
      <c r="D353" s="221"/>
      <c r="E353" s="75"/>
      <c r="F353" s="75"/>
      <c r="G353" s="75"/>
      <c r="H353" s="75"/>
      <c r="I353" s="75"/>
      <c r="J353" s="76"/>
      <c r="K353" s="41"/>
      <c r="L353" s="41"/>
      <c r="M353" s="41"/>
      <c r="N353" s="41"/>
      <c r="R353" s="15"/>
    </row>
    <row r="354" spans="1:18" hidden="1" x14ac:dyDescent="0.35">
      <c r="A354" s="41"/>
      <c r="B354" s="41"/>
      <c r="C354" s="41"/>
      <c r="D354" s="41"/>
      <c r="E354" s="75"/>
      <c r="F354" s="75"/>
      <c r="G354" s="75"/>
      <c r="H354" s="75"/>
      <c r="I354" s="75"/>
      <c r="J354" s="76"/>
      <c r="K354" s="41"/>
      <c r="L354" s="41"/>
      <c r="M354" s="41"/>
      <c r="N354" s="41"/>
      <c r="R354" s="15"/>
    </row>
    <row r="355" spans="1:18" x14ac:dyDescent="0.35">
      <c r="A355" s="42"/>
      <c r="B355" s="43"/>
      <c r="C355" s="43"/>
      <c r="D355" s="43"/>
      <c r="E355" s="43"/>
      <c r="F355" s="43"/>
      <c r="G355" s="43"/>
      <c r="H355" s="43"/>
      <c r="I355" s="43"/>
      <c r="J355" s="43"/>
      <c r="K355" s="77"/>
      <c r="L355" s="43"/>
      <c r="M355" s="43"/>
      <c r="N355" s="41"/>
      <c r="R355" s="15"/>
    </row>
    <row r="356" spans="1:18" x14ac:dyDescent="0.35">
      <c r="A356" s="42"/>
      <c r="B356" s="43"/>
      <c r="C356" s="43"/>
      <c r="D356" s="43"/>
      <c r="E356" s="43"/>
      <c r="F356" s="43"/>
      <c r="G356" s="43"/>
      <c r="H356" s="43"/>
      <c r="I356" s="43"/>
      <c r="J356" s="43"/>
      <c r="K356" s="77"/>
      <c r="L356" s="41"/>
      <c r="M356" s="41"/>
      <c r="N356" s="41"/>
      <c r="R356" s="15"/>
    </row>
    <row r="357" spans="1:18" x14ac:dyDescent="0.35">
      <c r="A357" s="42"/>
      <c r="B357" s="43"/>
      <c r="C357" s="43"/>
      <c r="D357" s="43"/>
      <c r="E357" s="43"/>
      <c r="F357" s="43"/>
      <c r="G357" s="43"/>
      <c r="H357" s="43"/>
      <c r="I357" s="43"/>
      <c r="J357" s="43"/>
      <c r="K357" s="41"/>
      <c r="L357" s="41"/>
      <c r="M357" s="41"/>
      <c r="N357" s="41"/>
      <c r="R357" s="15"/>
    </row>
    <row r="360" spans="1:18" x14ac:dyDescent="0.35">
      <c r="K360" s="59"/>
      <c r="L360" s="59"/>
      <c r="M360" s="59"/>
      <c r="N360" s="59"/>
      <c r="O360" s="59"/>
    </row>
    <row r="361" spans="1:18" x14ac:dyDescent="0.35">
      <c r="K361" s="59"/>
      <c r="L361" s="59"/>
      <c r="M361" s="59"/>
      <c r="N361" s="59"/>
      <c r="O361" s="59"/>
    </row>
    <row r="362" spans="1:18" x14ac:dyDescent="0.35">
      <c r="K362" s="59"/>
      <c r="L362" s="59"/>
      <c r="M362" s="59"/>
      <c r="N362" s="59"/>
      <c r="O362" s="59"/>
    </row>
  </sheetData>
  <mergeCells count="473">
    <mergeCell ref="H209:H213"/>
    <mergeCell ref="I209:I213"/>
    <mergeCell ref="Q204:Q213"/>
    <mergeCell ref="A239:A240"/>
    <mergeCell ref="B239:B240"/>
    <mergeCell ref="C239:C240"/>
    <mergeCell ref="D239:D240"/>
    <mergeCell ref="E239:E240"/>
    <mergeCell ref="F239:F240"/>
    <mergeCell ref="G239:G240"/>
    <mergeCell ref="H239:H240"/>
    <mergeCell ref="I239:I240"/>
    <mergeCell ref="Q230:Q231"/>
    <mergeCell ref="H67:H68"/>
    <mergeCell ref="I67:I68"/>
    <mergeCell ref="I134:I138"/>
    <mergeCell ref="G163:G166"/>
    <mergeCell ref="H163:H166"/>
    <mergeCell ref="I163:I166"/>
    <mergeCell ref="A169:A173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A167:A168"/>
    <mergeCell ref="Q289:Q295"/>
    <mergeCell ref="Q296:Q299"/>
    <mergeCell ref="Q302:Q303"/>
    <mergeCell ref="Q66:Q68"/>
    <mergeCell ref="A325:A326"/>
    <mergeCell ref="Q325:Q326"/>
    <mergeCell ref="A327:A331"/>
    <mergeCell ref="B327:B331"/>
    <mergeCell ref="C327:I331"/>
    <mergeCell ref="A315:Q315"/>
    <mergeCell ref="Q316:Q317"/>
    <mergeCell ref="Q318:Q319"/>
    <mergeCell ref="A320:Q320"/>
    <mergeCell ref="Q321:Q322"/>
    <mergeCell ref="A321:A322"/>
    <mergeCell ref="A316:A317"/>
    <mergeCell ref="A318:A319"/>
    <mergeCell ref="A323:A324"/>
    <mergeCell ref="Q323:Q324"/>
    <mergeCell ref="E187:E192"/>
    <mergeCell ref="A234:A235"/>
    <mergeCell ref="Q234:Q235"/>
    <mergeCell ref="Q236:Q237"/>
    <mergeCell ref="A255:A256"/>
    <mergeCell ref="J268:J270"/>
    <mergeCell ref="E263:E266"/>
    <mergeCell ref="J263:J265"/>
    <mergeCell ref="E268:E271"/>
    <mergeCell ref="A261:Q261"/>
    <mergeCell ref="B263:B266"/>
    <mergeCell ref="D263:D266"/>
    <mergeCell ref="F286:F288"/>
    <mergeCell ref="B284:B285"/>
    <mergeCell ref="D286:D288"/>
    <mergeCell ref="K263:K265"/>
    <mergeCell ref="F263:F266"/>
    <mergeCell ref="G263:G266"/>
    <mergeCell ref="F284:F285"/>
    <mergeCell ref="E273:E275"/>
    <mergeCell ref="G284:G285"/>
    <mergeCell ref="G268:G271"/>
    <mergeCell ref="F268:F271"/>
    <mergeCell ref="A263:A267"/>
    <mergeCell ref="K268:K270"/>
    <mergeCell ref="N268:N270"/>
    <mergeCell ref="L268:L270"/>
    <mergeCell ref="Q268:Q272"/>
    <mergeCell ref="G273:G275"/>
    <mergeCell ref="Q169:Q173"/>
    <mergeCell ref="E180:E181"/>
    <mergeCell ref="F180:F181"/>
    <mergeCell ref="G180:G181"/>
    <mergeCell ref="H180:H181"/>
    <mergeCell ref="I180:I181"/>
    <mergeCell ref="Q177:Q181"/>
    <mergeCell ref="E144:E146"/>
    <mergeCell ref="F144:F146"/>
    <mergeCell ref="E139:E142"/>
    <mergeCell ref="F153:F156"/>
    <mergeCell ref="G144:G146"/>
    <mergeCell ref="H144:H146"/>
    <mergeCell ref="I144:I146"/>
    <mergeCell ref="E153:E156"/>
    <mergeCell ref="Q158:Q165"/>
    <mergeCell ref="E163:E166"/>
    <mergeCell ref="F163:F166"/>
    <mergeCell ref="A153:A157"/>
    <mergeCell ref="D144:D146"/>
    <mergeCell ref="Q147:Q152"/>
    <mergeCell ref="F139:F142"/>
    <mergeCell ref="G139:G142"/>
    <mergeCell ref="Q139:Q146"/>
    <mergeCell ref="Q182:Q185"/>
    <mergeCell ref="Q174:Q176"/>
    <mergeCell ref="C112:C115"/>
    <mergeCell ref="A177:A181"/>
    <mergeCell ref="B180:B181"/>
    <mergeCell ref="Q124:Q125"/>
    <mergeCell ref="Q129:Q138"/>
    <mergeCell ref="A129:A138"/>
    <mergeCell ref="B134:B138"/>
    <mergeCell ref="C134:C138"/>
    <mergeCell ref="D134:D138"/>
    <mergeCell ref="E134:E138"/>
    <mergeCell ref="F134:F138"/>
    <mergeCell ref="G134:G138"/>
    <mergeCell ref="H134:H138"/>
    <mergeCell ref="G182:G185"/>
    <mergeCell ref="Q153:Q157"/>
    <mergeCell ref="G153:G156"/>
    <mergeCell ref="K23:K24"/>
    <mergeCell ref="S262:T262"/>
    <mergeCell ref="O268:O270"/>
    <mergeCell ref="P268:P270"/>
    <mergeCell ref="M268:M270"/>
    <mergeCell ref="N263:N265"/>
    <mergeCell ref="O263:O265"/>
    <mergeCell ref="M263:M265"/>
    <mergeCell ref="L263:L265"/>
    <mergeCell ref="Q167:Q168"/>
    <mergeCell ref="Q195:Q203"/>
    <mergeCell ref="Q255:Q256"/>
    <mergeCell ref="Q253:Q254"/>
    <mergeCell ref="Q238:Q240"/>
    <mergeCell ref="L23:O23"/>
    <mergeCell ref="Q57:Q58"/>
    <mergeCell ref="Q59:Q60"/>
    <mergeCell ref="P22:P24"/>
    <mergeCell ref="A26:Q26"/>
    <mergeCell ref="Q37:Q40"/>
    <mergeCell ref="D42:D43"/>
    <mergeCell ref="Q34:Q36"/>
    <mergeCell ref="C45:C46"/>
    <mergeCell ref="E42:E43"/>
    <mergeCell ref="F22:F24"/>
    <mergeCell ref="Q284:Q285"/>
    <mergeCell ref="Q286:Q288"/>
    <mergeCell ref="P263:P265"/>
    <mergeCell ref="P273:P275"/>
    <mergeCell ref="Q263:Q267"/>
    <mergeCell ref="L1:Q1"/>
    <mergeCell ref="J2:Q2"/>
    <mergeCell ref="L3:Q3"/>
    <mergeCell ref="L4:Q4"/>
    <mergeCell ref="Q187:Q192"/>
    <mergeCell ref="J187:J188"/>
    <mergeCell ref="O6:Q6"/>
    <mergeCell ref="Q75:Q80"/>
    <mergeCell ref="N7:Q7"/>
    <mergeCell ref="N8:Q8"/>
    <mergeCell ref="A81:Q81"/>
    <mergeCell ref="G158:G161"/>
    <mergeCell ref="A186:Q186"/>
    <mergeCell ref="A10:Q10"/>
    <mergeCell ref="A11:Q21"/>
    <mergeCell ref="E22:E24"/>
    <mergeCell ref="Q22:Q24"/>
    <mergeCell ref="K22:O22"/>
    <mergeCell ref="Q47:Q48"/>
    <mergeCell ref="F55:F56"/>
    <mergeCell ref="D62:D65"/>
    <mergeCell ref="C62:C65"/>
    <mergeCell ref="B112:B115"/>
    <mergeCell ref="A111:A115"/>
    <mergeCell ref="B45:B46"/>
    <mergeCell ref="A41:A43"/>
    <mergeCell ref="Q41:Q43"/>
    <mergeCell ref="B42:B43"/>
    <mergeCell ref="C42:C43"/>
    <mergeCell ref="A82:A92"/>
    <mergeCell ref="B82:B92"/>
    <mergeCell ref="C82:C92"/>
    <mergeCell ref="D82:D92"/>
    <mergeCell ref="E82:E92"/>
    <mergeCell ref="F82:F92"/>
    <mergeCell ref="G82:G92"/>
    <mergeCell ref="H82:H92"/>
    <mergeCell ref="I82:I92"/>
    <mergeCell ref="I73:I74"/>
    <mergeCell ref="B93:B103"/>
    <mergeCell ref="A93:A103"/>
    <mergeCell ref="C93:I103"/>
    <mergeCell ref="A126:Q126"/>
    <mergeCell ref="Q122:Q123"/>
    <mergeCell ref="D112:D115"/>
    <mergeCell ref="E112:E115"/>
    <mergeCell ref="F112:F115"/>
    <mergeCell ref="A57:A58"/>
    <mergeCell ref="A59:A60"/>
    <mergeCell ref="B55:B56"/>
    <mergeCell ref="Q54:Q56"/>
    <mergeCell ref="Q82:Q92"/>
    <mergeCell ref="Q93:Q103"/>
    <mergeCell ref="C73:C74"/>
    <mergeCell ref="D73:D74"/>
    <mergeCell ref="E73:E74"/>
    <mergeCell ref="F73:F74"/>
    <mergeCell ref="G73:G74"/>
    <mergeCell ref="H73:H74"/>
    <mergeCell ref="A66:A68"/>
    <mergeCell ref="B67:B68"/>
    <mergeCell ref="C67:C68"/>
    <mergeCell ref="D67:D68"/>
    <mergeCell ref="E67:E68"/>
    <mergeCell ref="F67:F68"/>
    <mergeCell ref="G67:G68"/>
    <mergeCell ref="C22:C24"/>
    <mergeCell ref="G22:G24"/>
    <mergeCell ref="A22:A24"/>
    <mergeCell ref="A127:A128"/>
    <mergeCell ref="Q72:Q74"/>
    <mergeCell ref="B73:B74"/>
    <mergeCell ref="I45:I46"/>
    <mergeCell ref="D45:D46"/>
    <mergeCell ref="E45:E46"/>
    <mergeCell ref="F45:F46"/>
    <mergeCell ref="G45:G46"/>
    <mergeCell ref="Q105:Q109"/>
    <mergeCell ref="A110:Q110"/>
    <mergeCell ref="A104:Q104"/>
    <mergeCell ref="Q127:Q128"/>
    <mergeCell ref="C105:I109"/>
    <mergeCell ref="A105:A109"/>
    <mergeCell ref="B105:B109"/>
    <mergeCell ref="Q120:Q121"/>
    <mergeCell ref="Q116:Q117"/>
    <mergeCell ref="A116:A117"/>
    <mergeCell ref="A118:A119"/>
    <mergeCell ref="Q118:Q119"/>
    <mergeCell ref="A120:A121"/>
    <mergeCell ref="A27:Q27"/>
    <mergeCell ref="Q28:Q33"/>
    <mergeCell ref="A37:A40"/>
    <mergeCell ref="B38:B40"/>
    <mergeCell ref="J22:J24"/>
    <mergeCell ref="D22:D24"/>
    <mergeCell ref="A31:A33"/>
    <mergeCell ref="C38:C40"/>
    <mergeCell ref="F50:F53"/>
    <mergeCell ref="H50:H53"/>
    <mergeCell ref="I50:I53"/>
    <mergeCell ref="B50:B53"/>
    <mergeCell ref="C50:C53"/>
    <mergeCell ref="D50:D53"/>
    <mergeCell ref="E50:E53"/>
    <mergeCell ref="D38:D40"/>
    <mergeCell ref="A44:A46"/>
    <mergeCell ref="A34:A36"/>
    <mergeCell ref="B35:B36"/>
    <mergeCell ref="G35:G36"/>
    <mergeCell ref="H35:H36"/>
    <mergeCell ref="E38:E40"/>
    <mergeCell ref="B22:B24"/>
    <mergeCell ref="E28:E31"/>
    <mergeCell ref="H22:H24"/>
    <mergeCell ref="I22:I24"/>
    <mergeCell ref="B28:B31"/>
    <mergeCell ref="G50:G52"/>
    <mergeCell ref="B158:B161"/>
    <mergeCell ref="B153:B156"/>
    <mergeCell ref="D153:D156"/>
    <mergeCell ref="A193:A194"/>
    <mergeCell ref="B193:B194"/>
    <mergeCell ref="A174:A176"/>
    <mergeCell ref="A182:A185"/>
    <mergeCell ref="A139:A146"/>
    <mergeCell ref="B144:B146"/>
    <mergeCell ref="D187:D192"/>
    <mergeCell ref="C144:C146"/>
    <mergeCell ref="D139:D142"/>
    <mergeCell ref="A158:A166"/>
    <mergeCell ref="B163:B166"/>
    <mergeCell ref="C163:C166"/>
    <mergeCell ref="D163:D166"/>
    <mergeCell ref="B139:B142"/>
    <mergeCell ref="A147:A152"/>
    <mergeCell ref="D158:D161"/>
    <mergeCell ref="A187:A192"/>
    <mergeCell ref="C180:C181"/>
    <mergeCell ref="D180:D181"/>
    <mergeCell ref="A232:A233"/>
    <mergeCell ref="Q259:Q260"/>
    <mergeCell ref="A259:A260"/>
    <mergeCell ref="Q308:Q309"/>
    <mergeCell ref="Q273:Q275"/>
    <mergeCell ref="D273:D275"/>
    <mergeCell ref="F273:F275"/>
    <mergeCell ref="B273:B275"/>
    <mergeCell ref="A268:A272"/>
    <mergeCell ref="B286:B288"/>
    <mergeCell ref="E286:E288"/>
    <mergeCell ref="B268:B271"/>
    <mergeCell ref="B281:B283"/>
    <mergeCell ref="A286:A288"/>
    <mergeCell ref="A284:A285"/>
    <mergeCell ref="Q300:Q301"/>
    <mergeCell ref="A276:A283"/>
    <mergeCell ref="D284:D285"/>
    <mergeCell ref="E284:E285"/>
    <mergeCell ref="D268:D271"/>
    <mergeCell ref="Q276:Q283"/>
    <mergeCell ref="P276:P277"/>
    <mergeCell ref="Q304:Q305"/>
    <mergeCell ref="A306:A307"/>
    <mergeCell ref="Q306:Q307"/>
    <mergeCell ref="A353:D353"/>
    <mergeCell ref="A352:B352"/>
    <mergeCell ref="A349:L349"/>
    <mergeCell ref="A347:E347"/>
    <mergeCell ref="A346:B346"/>
    <mergeCell ref="G297:G299"/>
    <mergeCell ref="A311:A312"/>
    <mergeCell ref="A304:A305"/>
    <mergeCell ref="A348:E348"/>
    <mergeCell ref="A313:A314"/>
    <mergeCell ref="Q313:Q314"/>
    <mergeCell ref="Q311:Q312"/>
    <mergeCell ref="A335:A345"/>
    <mergeCell ref="B335:B345"/>
    <mergeCell ref="C335:I345"/>
    <mergeCell ref="Q327:Q345"/>
    <mergeCell ref="A273:A275"/>
    <mergeCell ref="G286:G288"/>
    <mergeCell ref="A289:A295"/>
    <mergeCell ref="B294:B295"/>
    <mergeCell ref="C294:C295"/>
    <mergeCell ref="A296:A299"/>
    <mergeCell ref="A300:A301"/>
    <mergeCell ref="A302:A303"/>
    <mergeCell ref="D294:D295"/>
    <mergeCell ref="E294:E295"/>
    <mergeCell ref="F294:F295"/>
    <mergeCell ref="G294:G295"/>
    <mergeCell ref="H294:H295"/>
    <mergeCell ref="I294:I295"/>
    <mergeCell ref="A310:Q310"/>
    <mergeCell ref="A75:A80"/>
    <mergeCell ref="B75:B80"/>
    <mergeCell ref="C75:I80"/>
    <mergeCell ref="C55:C56"/>
    <mergeCell ref="D55:D56"/>
    <mergeCell ref="E55:E56"/>
    <mergeCell ref="G55:G56"/>
    <mergeCell ref="H55:H56"/>
    <mergeCell ref="I55:I56"/>
    <mergeCell ref="A72:A74"/>
    <mergeCell ref="A69:A71"/>
    <mergeCell ref="B70:B71"/>
    <mergeCell ref="C70:C71"/>
    <mergeCell ref="D70:D71"/>
    <mergeCell ref="E70:E71"/>
    <mergeCell ref="F70:F71"/>
    <mergeCell ref="H70:H71"/>
    <mergeCell ref="I70:I71"/>
    <mergeCell ref="H62:H65"/>
    <mergeCell ref="I62:I65"/>
    <mergeCell ref="E62:E65"/>
    <mergeCell ref="F62:F65"/>
    <mergeCell ref="A54:A56"/>
    <mergeCell ref="A61:A65"/>
    <mergeCell ref="F28:F31"/>
    <mergeCell ref="D28:D31"/>
    <mergeCell ref="I35:I36"/>
    <mergeCell ref="Q44:Q46"/>
    <mergeCell ref="C35:C36"/>
    <mergeCell ref="D35:D36"/>
    <mergeCell ref="E35:E36"/>
    <mergeCell ref="F35:F36"/>
    <mergeCell ref="I38:I40"/>
    <mergeCell ref="G38:G40"/>
    <mergeCell ref="F38:F40"/>
    <mergeCell ref="G28:G31"/>
    <mergeCell ref="Q49:Q53"/>
    <mergeCell ref="H45:H46"/>
    <mergeCell ref="H38:H40"/>
    <mergeCell ref="A47:A48"/>
    <mergeCell ref="A49:A53"/>
    <mergeCell ref="F42:F43"/>
    <mergeCell ref="G42:G43"/>
    <mergeCell ref="H42:H43"/>
    <mergeCell ref="I42:I43"/>
    <mergeCell ref="G187:G192"/>
    <mergeCell ref="Q247:Q248"/>
    <mergeCell ref="I245:I246"/>
    <mergeCell ref="Q226:Q227"/>
    <mergeCell ref="Q228:Q229"/>
    <mergeCell ref="Q224:Q225"/>
    <mergeCell ref="L187:L188"/>
    <mergeCell ref="P193:P194"/>
    <mergeCell ref="Q193:Q194"/>
    <mergeCell ref="Q222:Q223"/>
    <mergeCell ref="P187:P190"/>
    <mergeCell ref="P195:P196"/>
    <mergeCell ref="P204:P205"/>
    <mergeCell ref="N187:N188"/>
    <mergeCell ref="M187:M188"/>
    <mergeCell ref="K187:K188"/>
    <mergeCell ref="Q232:Q233"/>
    <mergeCell ref="Q214:Q221"/>
    <mergeCell ref="G215:G221"/>
    <mergeCell ref="H215:H221"/>
    <mergeCell ref="I215:I221"/>
    <mergeCell ref="G199:G203"/>
    <mergeCell ref="H199:H203"/>
    <mergeCell ref="I199:I203"/>
    <mergeCell ref="G193:G194"/>
    <mergeCell ref="A224:A225"/>
    <mergeCell ref="A222:A223"/>
    <mergeCell ref="A214:A217"/>
    <mergeCell ref="B215:B221"/>
    <mergeCell ref="C215:C221"/>
    <mergeCell ref="D215:D221"/>
    <mergeCell ref="E215:E221"/>
    <mergeCell ref="F215:F221"/>
    <mergeCell ref="E193:E194"/>
    <mergeCell ref="A204:A213"/>
    <mergeCell ref="A195:A203"/>
    <mergeCell ref="B199:B203"/>
    <mergeCell ref="C199:C203"/>
    <mergeCell ref="D199:D203"/>
    <mergeCell ref="E199:E203"/>
    <mergeCell ref="F199:F203"/>
    <mergeCell ref="B209:B213"/>
    <mergeCell ref="C209:C213"/>
    <mergeCell ref="D209:D213"/>
    <mergeCell ref="E209:E213"/>
    <mergeCell ref="F209:F213"/>
    <mergeCell ref="G209:G213"/>
    <mergeCell ref="A257:A258"/>
    <mergeCell ref="Q257:Q258"/>
    <mergeCell ref="A244:A246"/>
    <mergeCell ref="B245:B246"/>
    <mergeCell ref="Q244:Q246"/>
    <mergeCell ref="C245:C246"/>
    <mergeCell ref="E245:E246"/>
    <mergeCell ref="F245:F246"/>
    <mergeCell ref="G245:G246"/>
    <mergeCell ref="H245:H246"/>
    <mergeCell ref="Q251:Q252"/>
    <mergeCell ref="A253:A254"/>
    <mergeCell ref="G112:G115"/>
    <mergeCell ref="H112:H115"/>
    <mergeCell ref="I112:I115"/>
    <mergeCell ref="Q111:Q115"/>
    <mergeCell ref="Q61:Q65"/>
    <mergeCell ref="Q242:Q243"/>
    <mergeCell ref="A251:A252"/>
    <mergeCell ref="A241:Q241"/>
    <mergeCell ref="A242:A243"/>
    <mergeCell ref="A249:A250"/>
    <mergeCell ref="A230:A231"/>
    <mergeCell ref="B62:B65"/>
    <mergeCell ref="G62:G65"/>
    <mergeCell ref="Q249:Q250"/>
    <mergeCell ref="D245:D246"/>
    <mergeCell ref="A247:A248"/>
    <mergeCell ref="E158:E161"/>
    <mergeCell ref="F158:F161"/>
    <mergeCell ref="A228:A229"/>
    <mergeCell ref="B187:B192"/>
    <mergeCell ref="A226:A227"/>
    <mergeCell ref="D193:D194"/>
    <mergeCell ref="F187:F192"/>
    <mergeCell ref="F193:F194"/>
  </mergeCells>
  <phoneticPr fontId="2" type="noConversion"/>
  <pageMargins left="0.23622047244094491" right="0.23622047244094491" top="0.74803149606299213" bottom="0.35433070866141736" header="0.31496062992125984" footer="0.31496062992125984"/>
  <pageSetup paperSize="9" scale="50" fitToHeight="0" orientation="landscape" blackAndWhite="1" r:id="rId1"/>
  <headerFooter differentFirst="1">
    <oddHeader xml:space="preserve">&amp;C&amp;P&amp;R
</oddHeader>
  </headerFooter>
  <rowBreaks count="2" manualBreakCount="2">
    <brk id="62" min="1" max="16" man="1"/>
    <brk id="125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</vt:i4>
      </vt:variant>
    </vt:vector>
  </HeadingPairs>
  <TitlesOfParts>
    <vt:vector size="11" baseType="lpstr">
      <vt:lpstr>Перечень объектов</vt:lpstr>
      <vt:lpstr>'Перечень объектов'!a</vt:lpstr>
      <vt:lpstr>'Перечень объектов'!b</vt:lpstr>
      <vt:lpstr>'Перечень объектов'!Заголовки_для_печати</vt:lpstr>
      <vt:lpstr>'Перечень объектов'!Область_печати</vt:lpstr>
      <vt:lpstr>'Перечень объектов'!Перечень</vt:lpstr>
      <vt:lpstr>'Перечень объектов'!прил</vt:lpstr>
      <vt:lpstr>'Перечень объектов'!Прил.1</vt:lpstr>
      <vt:lpstr>'Перечень объектов'!Приложение</vt:lpstr>
      <vt:lpstr>'Перечень объектов'!ф</vt:lpstr>
      <vt:lpstr>'Перечень объектов'!ц</vt:lpstr>
    </vt:vector>
  </TitlesOfParts>
  <Company>Отдел ФКиС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Балашов Николай</dc:creator>
  <cp:lastModifiedBy>Антон Сергеевич Панкратов</cp:lastModifiedBy>
  <cp:lastPrinted>2024-04-12T13:01:22Z</cp:lastPrinted>
  <dcterms:created xsi:type="dcterms:W3CDTF">2008-02-20T07:39:22Z</dcterms:created>
  <dcterms:modified xsi:type="dcterms:W3CDTF">2024-08-13T07:19:50Z</dcterms:modified>
</cp:coreProperties>
</file>